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ib\pria\ArengutoetusteOsakond\LEADER_toetuste_büroo\2014-2020 Projektitaotlused\hindepunktid kodulehele\"/>
    </mc:Choice>
  </mc:AlternateContent>
  <bookViews>
    <workbookView xWindow="0" yWindow="60" windowWidth="15360" windowHeight="7095" tabRatio="833" firstSheet="15" activeTab="21"/>
  </bookViews>
  <sheets>
    <sheet name="Arenduskoda" sheetId="3" r:id="rId1"/>
    <sheet name="Hiidlaste Koostöökogu" sheetId="4" r:id="rId2"/>
    <sheet name="Ida-Harju Koostöökoda" sheetId="5" r:id="rId3"/>
    <sheet name="Jõgevamaa Koostöökoda" sheetId="6" r:id="rId4"/>
    <sheet name="Järva Arengu Partnerid" sheetId="7" r:id="rId5"/>
    <sheet name="Kirderanniku Koostöökogu" sheetId="8" r:id="rId6"/>
    <sheet name="Kodukant Läänemaa" sheetId="9" r:id="rId7"/>
    <sheet name="Lõuna- Järvamaa Koostöökogu" sheetId="2" r:id="rId8"/>
    <sheet name="Lääne-Harju Koostöökogu" sheetId="11" r:id="rId9"/>
    <sheet name="Mulgimaa Arenduskoda" sheetId="13" r:id="rId10"/>
    <sheet name="Nelja Valla Kogu" sheetId="12" r:id="rId11"/>
    <sheet name="PAIK" sheetId="1" r:id="rId12"/>
    <sheet name="Partnerid" sheetId="14" r:id="rId13"/>
    <sheet name="Peipsi-Alutaguse Koostöökoda" sheetId="19" r:id="rId14"/>
    <sheet name="Piiriveere Liider" sheetId="15" r:id="rId15"/>
    <sheet name="Põhja-Harju Koostöökogu" sheetId="16" r:id="rId16"/>
    <sheet name="Põlvamaa Partnerluskogu" sheetId="17" r:id="rId17"/>
    <sheet name="Pärnu Lahe Partnerluskogu" sheetId="20" r:id="rId18"/>
    <sheet name="Raplamaa Partnerluskogu" sheetId="18" r:id="rId19"/>
    <sheet name="Rohelise Jõemaa Koostöökogu" sheetId="21" r:id="rId20"/>
    <sheet name="Saarte Koostöökogu" sheetId="22" r:id="rId21"/>
    <sheet name="Tartumaa Arendusselts" sheetId="23" r:id="rId22"/>
    <sheet name="Valgamaa Partnerluskogu" sheetId="24" r:id="rId23"/>
    <sheet name="Virumaa Koostöökogu" sheetId="25" r:id="rId24"/>
    <sheet name="Võrtsjärve Ühendus" sheetId="26" r:id="rId25"/>
    <sheet name="Võrumaa Partnerluskogu" sheetId="27" r:id="rId26"/>
  </sheets>
  <externalReferences>
    <externalReference r:id="rId2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5" l="1"/>
  <c r="B130" i="5"/>
  <c r="B131" i="5"/>
  <c r="B132" i="5"/>
  <c r="B133" i="5"/>
  <c r="B134" i="5"/>
  <c r="B135" i="5"/>
  <c r="B128" i="5"/>
  <c r="B127" i="5"/>
  <c r="B116" i="5"/>
  <c r="B117" i="5"/>
  <c r="B118" i="5"/>
  <c r="B119" i="5"/>
  <c r="B120" i="5"/>
  <c r="B121" i="5"/>
  <c r="B122" i="5"/>
  <c r="B123" i="5"/>
  <c r="B124" i="5"/>
  <c r="B125" i="5"/>
  <c r="B126" i="5"/>
  <c r="B115" i="5"/>
  <c r="D110" i="5"/>
  <c r="D111" i="5"/>
  <c r="D112" i="5"/>
  <c r="D113" i="5"/>
  <c r="D127" i="5" s="1"/>
  <c r="D109" i="5"/>
  <c r="B109" i="5"/>
  <c r="B110" i="5"/>
  <c r="B111" i="5"/>
  <c r="B112" i="5"/>
  <c r="B113" i="5"/>
  <c r="B114" i="5"/>
  <c r="A108" i="5"/>
  <c r="A110" i="5" s="1"/>
  <c r="B102" i="5"/>
  <c r="B103" i="5"/>
  <c r="B104" i="5"/>
  <c r="B105" i="5"/>
  <c r="B106" i="5"/>
  <c r="B107" i="5"/>
  <c r="B108" i="5"/>
  <c r="A107" i="5"/>
  <c r="A106" i="5"/>
  <c r="A105" i="5"/>
  <c r="A104" i="5"/>
  <c r="A103" i="5"/>
  <c r="A102" i="5"/>
  <c r="B101" i="5"/>
  <c r="D125" i="5" l="1"/>
  <c r="A113" i="5"/>
  <c r="A114" i="5"/>
  <c r="A125" i="5" s="1"/>
  <c r="A111" i="5"/>
  <c r="A112" i="5"/>
  <c r="A109" i="5"/>
  <c r="D126" i="5"/>
  <c r="C94" i="2"/>
  <c r="C95" i="2"/>
  <c r="C96" i="2"/>
  <c r="C97" i="2"/>
  <c r="C98" i="2"/>
  <c r="C99" i="2"/>
  <c r="C100" i="2"/>
  <c r="B92" i="2"/>
  <c r="B93" i="2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147" i="21"/>
  <c r="C146" i="21"/>
  <c r="C145" i="21"/>
  <c r="C144" i="21"/>
  <c r="C143" i="21"/>
  <c r="C142" i="21"/>
  <c r="C141" i="21"/>
  <c r="C140" i="21"/>
  <c r="C139" i="21"/>
  <c r="C138" i="21"/>
  <c r="C137" i="21"/>
  <c r="C136" i="21"/>
  <c r="C135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122" i="21"/>
  <c r="C121" i="21"/>
  <c r="C120" i="21"/>
  <c r="C119" i="21"/>
  <c r="C118" i="21"/>
  <c r="C117" i="21"/>
  <c r="C116" i="21"/>
  <c r="C115" i="21"/>
  <c r="C114" i="21"/>
  <c r="C113" i="21"/>
  <c r="C229" i="20"/>
  <c r="C228" i="20"/>
  <c r="C227" i="20"/>
  <c r="C226" i="20"/>
  <c r="C225" i="20"/>
  <c r="C224" i="20"/>
  <c r="C223" i="20"/>
  <c r="C222" i="20"/>
  <c r="C221" i="20"/>
  <c r="C220" i="20"/>
  <c r="C219" i="20"/>
  <c r="C218" i="20"/>
  <c r="C217" i="20"/>
  <c r="C216" i="20"/>
  <c r="C215" i="20"/>
  <c r="C214" i="20"/>
  <c r="C213" i="20"/>
  <c r="C212" i="20"/>
  <c r="C211" i="20"/>
  <c r="C210" i="20"/>
  <c r="C209" i="20"/>
  <c r="C208" i="20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41" i="11"/>
  <c r="C40" i="11"/>
  <c r="C39" i="11"/>
  <c r="C38" i="11"/>
  <c r="C37" i="11"/>
  <c r="C36" i="11"/>
  <c r="C35" i="11"/>
  <c r="C34" i="11"/>
  <c r="C33" i="11"/>
  <c r="C32" i="11"/>
  <c r="C31" i="11"/>
  <c r="C30" i="11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177" i="20"/>
  <c r="C176" i="20"/>
  <c r="C146" i="22"/>
  <c r="C145" i="22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07" i="1"/>
  <c r="C106" i="1"/>
  <c r="C105" i="1"/>
  <c r="C104" i="1"/>
  <c r="C103" i="1"/>
  <c r="C102" i="1"/>
  <c r="C101" i="1"/>
  <c r="C100" i="1"/>
  <c r="C99" i="1"/>
  <c r="C104" i="24"/>
  <c r="C103" i="24"/>
  <c r="C102" i="24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112" i="21"/>
  <c r="C111" i="21"/>
  <c r="C110" i="21"/>
  <c r="C109" i="21"/>
  <c r="C108" i="21"/>
  <c r="C107" i="21"/>
  <c r="C106" i="21"/>
  <c r="C105" i="21"/>
  <c r="C104" i="21"/>
  <c r="C103" i="21"/>
  <c r="C102" i="21"/>
  <c r="C101" i="21"/>
  <c r="C100" i="21"/>
  <c r="C99" i="21"/>
  <c r="C98" i="21"/>
  <c r="C97" i="21"/>
  <c r="C96" i="21"/>
  <c r="C95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6" i="13"/>
  <c r="C165" i="13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29" i="11"/>
  <c r="C28" i="11"/>
  <c r="C27" i="11"/>
  <c r="C26" i="11"/>
  <c r="C25" i="11"/>
  <c r="C24" i="11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233" i="17"/>
  <c r="C232" i="17"/>
  <c r="C231" i="17"/>
  <c r="C230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7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200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8" i="17"/>
  <c r="C127" i="17"/>
  <c r="C126" i="17"/>
  <c r="C125" i="17"/>
  <c r="C124" i="17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101" i="20"/>
  <c r="C100" i="20"/>
  <c r="C99" i="20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75" i="4"/>
  <c r="C74" i="4"/>
  <c r="C73" i="4"/>
  <c r="C72" i="4"/>
  <c r="C71" i="4"/>
  <c r="C70" i="4"/>
  <c r="C69" i="4"/>
  <c r="C68" i="4"/>
  <c r="C67" i="4"/>
  <c r="C63" i="1"/>
  <c r="C62" i="1"/>
  <c r="C61" i="1"/>
  <c r="C60" i="1"/>
  <c r="C59" i="1"/>
  <c r="C58" i="1"/>
  <c r="C57" i="1"/>
  <c r="C69" i="26"/>
  <c r="C68" i="26"/>
  <c r="C71" i="26"/>
  <c r="C70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3" i="15"/>
  <c r="C74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23" i="11"/>
  <c r="C22" i="11"/>
  <c r="C18" i="11"/>
  <c r="C17" i="11"/>
  <c r="C21" i="11"/>
  <c r="C20" i="11"/>
  <c r="C19" i="11"/>
  <c r="C16" i="11"/>
  <c r="C15" i="11"/>
  <c r="C14" i="11"/>
  <c r="C13" i="11"/>
  <c r="C12" i="11"/>
  <c r="C11" i="11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59" i="23"/>
  <c r="C58" i="23"/>
  <c r="C57" i="23"/>
  <c r="C56" i="23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5" i="23"/>
  <c r="C4" i="23"/>
  <c r="C3" i="23"/>
  <c r="C98" i="20"/>
  <c r="C97" i="20"/>
  <c r="C56" i="1"/>
  <c r="C61" i="24"/>
  <c r="C88" i="7"/>
  <c r="C83" i="7"/>
  <c r="C77" i="7"/>
  <c r="C82" i="7"/>
  <c r="C81" i="7"/>
  <c r="C68" i="7"/>
  <c r="C61" i="7"/>
  <c r="C48" i="3"/>
  <c r="C15" i="21"/>
  <c r="C18" i="21"/>
  <c r="C17" i="21"/>
  <c r="C16" i="21"/>
  <c r="C19" i="21"/>
  <c r="C13" i="21"/>
  <c r="C12" i="21"/>
  <c r="C14" i="21"/>
  <c r="C10" i="21"/>
  <c r="C8" i="21"/>
  <c r="C9" i="21"/>
  <c r="C11" i="21"/>
  <c r="C6" i="21"/>
  <c r="C7" i="21"/>
  <c r="C53" i="21"/>
  <c r="C51" i="21"/>
  <c r="C54" i="21"/>
  <c r="C52" i="21"/>
  <c r="C46" i="21"/>
  <c r="C47" i="21"/>
  <c r="C41" i="21"/>
  <c r="C48" i="21"/>
  <c r="C49" i="21"/>
  <c r="C43" i="21"/>
  <c r="C42" i="21"/>
  <c r="C50" i="21"/>
  <c r="C45" i="21"/>
  <c r="C39" i="21"/>
  <c r="C36" i="21"/>
  <c r="C35" i="21"/>
  <c r="C34" i="21"/>
  <c r="C5" i="21"/>
  <c r="C4" i="21"/>
  <c r="C3" i="21"/>
  <c r="C14" i="12"/>
  <c r="C13" i="12"/>
  <c r="C12" i="12"/>
  <c r="C11" i="12"/>
  <c r="C10" i="12"/>
  <c r="C9" i="12"/>
  <c r="C8" i="12"/>
  <c r="C7" i="12"/>
  <c r="C15" i="12"/>
  <c r="C19" i="12"/>
  <c r="C18" i="12"/>
  <c r="C17" i="12"/>
  <c r="C16" i="12"/>
  <c r="C6" i="12"/>
  <c r="C5" i="12"/>
  <c r="C4" i="12"/>
  <c r="C3" i="12"/>
  <c r="C17" i="25"/>
  <c r="C16" i="25"/>
  <c r="C15" i="25"/>
  <c r="C9" i="25"/>
  <c r="C21" i="25"/>
  <c r="C20" i="25"/>
  <c r="C19" i="25"/>
  <c r="C18" i="25"/>
  <c r="C14" i="25"/>
  <c r="C13" i="25"/>
  <c r="C12" i="25"/>
  <c r="C11" i="25"/>
  <c r="C10" i="25"/>
  <c r="C8" i="25"/>
  <c r="C7" i="25"/>
  <c r="C6" i="25"/>
  <c r="C5" i="25"/>
  <c r="C4" i="25"/>
  <c r="C3" i="25"/>
  <c r="C38" i="24"/>
  <c r="C37" i="24"/>
  <c r="C36" i="24"/>
  <c r="C35" i="24"/>
  <c r="C34" i="24"/>
  <c r="C33" i="24"/>
  <c r="C32" i="24"/>
  <c r="C30" i="24"/>
  <c r="C29" i="24"/>
  <c r="C35" i="27"/>
  <c r="C58" i="17"/>
  <c r="C80" i="17"/>
  <c r="C86" i="17"/>
  <c r="C59" i="17"/>
  <c r="C69" i="17"/>
  <c r="C10" i="11"/>
  <c r="C6" i="11"/>
  <c r="C9" i="11"/>
  <c r="C8" i="11"/>
  <c r="C7" i="11"/>
  <c r="C5" i="11"/>
  <c r="C4" i="11"/>
  <c r="C3" i="11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5" i="20"/>
  <c r="C39" i="20"/>
  <c r="C38" i="20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4" i="19"/>
  <c r="C60" i="14"/>
  <c r="C59" i="14"/>
  <c r="C58" i="14"/>
  <c r="C57" i="14"/>
  <c r="C56" i="14"/>
  <c r="C55" i="14"/>
  <c r="C54" i="14"/>
  <c r="C52" i="14"/>
  <c r="C53" i="14"/>
  <c r="C51" i="14"/>
  <c r="C50" i="14"/>
  <c r="C49" i="14"/>
  <c r="C48" i="14"/>
  <c r="C47" i="14"/>
  <c r="C46" i="14"/>
  <c r="C45" i="14"/>
  <c r="C44" i="14"/>
  <c r="C43" i="14"/>
  <c r="C31" i="26"/>
  <c r="C30" i="26"/>
  <c r="C26" i="26"/>
  <c r="C29" i="26"/>
  <c r="C28" i="26"/>
  <c r="C27" i="26"/>
  <c r="C25" i="26"/>
  <c r="C24" i="26"/>
  <c r="C23" i="26"/>
  <c r="C22" i="26"/>
  <c r="C21" i="26"/>
  <c r="C13" i="26"/>
  <c r="C12" i="26"/>
  <c r="C11" i="26"/>
  <c r="C36" i="26"/>
  <c r="C35" i="26"/>
  <c r="C34" i="26"/>
  <c r="C33" i="26"/>
  <c r="C32" i="26"/>
  <c r="C20" i="26"/>
  <c r="C19" i="26"/>
  <c r="C18" i="26"/>
  <c r="C17" i="26"/>
  <c r="C16" i="26"/>
  <c r="C15" i="26"/>
  <c r="C14" i="26"/>
  <c r="C10" i="26"/>
  <c r="C9" i="26"/>
  <c r="C8" i="26"/>
  <c r="C7" i="26"/>
  <c r="C6" i="26"/>
  <c r="C5" i="26"/>
  <c r="C4" i="26"/>
  <c r="C3" i="26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31" i="27"/>
  <c r="C30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4" i="27"/>
  <c r="C33" i="27"/>
  <c r="C32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3" i="2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102" i="18"/>
  <c r="C101" i="18"/>
  <c r="C100" i="18"/>
  <c r="C99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98" i="18"/>
  <c r="C97" i="18"/>
  <c r="C96" i="18"/>
  <c r="C95" i="18"/>
  <c r="C94" i="18"/>
  <c r="C93" i="18"/>
  <c r="C92" i="18"/>
  <c r="C91" i="18"/>
  <c r="C90" i="18"/>
  <c r="C64" i="18"/>
  <c r="C63" i="18"/>
  <c r="C62" i="18"/>
  <c r="C61" i="18"/>
  <c r="C60" i="18"/>
  <c r="C59" i="18"/>
  <c r="C58" i="18"/>
  <c r="C57" i="18"/>
  <c r="C56" i="18"/>
  <c r="C55" i="18"/>
  <c r="C54" i="18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0" i="18"/>
  <c r="C27" i="18"/>
  <c r="C23" i="18"/>
  <c r="C22" i="18"/>
  <c r="C20" i="18"/>
  <c r="C34" i="18"/>
  <c r="C33" i="18"/>
  <c r="C32" i="18"/>
  <c r="C31" i="18"/>
  <c r="C29" i="18"/>
  <c r="C28" i="18"/>
  <c r="C26" i="18"/>
  <c r="C25" i="18"/>
  <c r="C24" i="18"/>
  <c r="C21" i="18"/>
  <c r="C19" i="18"/>
  <c r="C18" i="18"/>
  <c r="C51" i="1"/>
  <c r="C50" i="1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" i="20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C4" i="24"/>
  <c r="C3" i="24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5" i="17"/>
  <c r="C84" i="17"/>
  <c r="C83" i="17"/>
  <c r="C82" i="17"/>
  <c r="C81" i="17"/>
  <c r="C79" i="17"/>
  <c r="C78" i="17"/>
  <c r="C77" i="17"/>
  <c r="C76" i="17"/>
  <c r="C75" i="17"/>
  <c r="C74" i="17"/>
  <c r="C73" i="17"/>
  <c r="C72" i="17"/>
  <c r="C71" i="17"/>
  <c r="C70" i="17"/>
  <c r="C68" i="17"/>
  <c r="C67" i="17"/>
  <c r="C66" i="17"/>
  <c r="C65" i="17"/>
  <c r="C64" i="17"/>
  <c r="C63" i="17"/>
  <c r="C62" i="17"/>
  <c r="C61" i="17"/>
  <c r="C60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3" i="4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6" i="3"/>
  <c r="C7" i="3"/>
  <c r="C5" i="3"/>
  <c r="C4" i="3"/>
  <c r="C3" i="3"/>
  <c r="C28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52" i="7"/>
  <c r="C51" i="7"/>
  <c r="C50" i="7"/>
  <c r="C28" i="7"/>
  <c r="C27" i="7"/>
  <c r="C26" i="7"/>
  <c r="C17" i="16"/>
  <c r="C16" i="16"/>
  <c r="C15" i="16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A115" i="5" l="1"/>
  <c r="A123" i="5"/>
  <c r="A118" i="5"/>
  <c r="A117" i="5"/>
  <c r="A120" i="5"/>
  <c r="A116" i="5"/>
  <c r="A122" i="5"/>
  <c r="A119" i="5"/>
  <c r="A121" i="5"/>
  <c r="A124" i="5"/>
  <c r="A126" i="5"/>
  <c r="A127" i="5" s="1"/>
  <c r="A128" i="5" s="1"/>
  <c r="A130" i="5" l="1"/>
  <c r="A131" i="5"/>
  <c r="A135" i="5"/>
  <c r="A129" i="5"/>
  <c r="A133" i="5"/>
  <c r="A134" i="5"/>
  <c r="A132" i="5"/>
</calcChain>
</file>

<file path=xl/comments1.xml><?xml version="1.0" encoding="utf-8"?>
<comments xmlns="http://schemas.openxmlformats.org/spreadsheetml/2006/main">
  <authors>
    <author>Tiina Mölder</author>
  </authors>
  <commentList>
    <comment ref="B148" authorId="0" shapeId="0">
      <text>
        <r>
          <rPr>
            <b/>
            <sz val="9"/>
            <color indexed="81"/>
            <rFont val="Tahoma"/>
            <family val="2"/>
          </rPr>
          <t>Tiina Mölder: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4" authorId="0" shapeId="0">
      <text>
        <r>
          <rPr>
            <b/>
            <sz val="9"/>
            <color indexed="81"/>
            <rFont val="Tahoma"/>
            <family val="2"/>
          </rPr>
          <t>Tiina Mölder: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1" authorId="0" shapeId="0">
      <text>
        <r>
          <rPr>
            <b/>
            <sz val="9"/>
            <color indexed="81"/>
            <rFont val="Tahoma"/>
            <family val="2"/>
          </rPr>
          <t>Tiina Mölder: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<sst xmlns="http://schemas.openxmlformats.org/spreadsheetml/2006/main" count="27621" uniqueCount="1564">
  <si>
    <t>Viitenumber</t>
  </si>
  <si>
    <t>Hindepunktid</t>
  </si>
  <si>
    <t>Meetme nimetus</t>
  </si>
  <si>
    <t>Lõuna-Järvamaa Koostöökogu</t>
  </si>
  <si>
    <t>Meede 1.1 "Tegusad inimesed ja elujõuline kogukond"</t>
  </si>
  <si>
    <t>Meede 1.2 "Atraktiivne elukeskkond ja kogukonnateenused"</t>
  </si>
  <si>
    <t>Taotlusvooru aeg</t>
  </si>
  <si>
    <t>04-11.03.16</t>
  </si>
  <si>
    <t>PAIK</t>
  </si>
  <si>
    <t>Meede 2.1 "Kodupaik Pandivere"</t>
  </si>
  <si>
    <t>Meede 1.1 " Tärkav Pandivere"</t>
  </si>
  <si>
    <t>07-09.03.16</t>
  </si>
  <si>
    <t>16-18.03.16</t>
  </si>
  <si>
    <t>Lääne-Harju Koostöökogu</t>
  </si>
  <si>
    <t>Arenduskoda</t>
  </si>
  <si>
    <t>Hiidlaste Koostöökogu</t>
  </si>
  <si>
    <t>Ida-harju Koostöökoda</t>
  </si>
  <si>
    <t>Jõgevamaa Koostöökoda</t>
  </si>
  <si>
    <t>Järva Arengu Partnerid</t>
  </si>
  <si>
    <t>Kirderanniku Koostöökogu</t>
  </si>
  <si>
    <t>Kodukant Läänemaa</t>
  </si>
  <si>
    <t>Nelja Valla Kogu</t>
  </si>
  <si>
    <t>Mulgimaa Arenduskoda</t>
  </si>
  <si>
    <t>Partnerid</t>
  </si>
  <si>
    <t>Piiriveere Liider</t>
  </si>
  <si>
    <t>Põhja-Harju Koostöökogu</t>
  </si>
  <si>
    <t>Põlvamaa Partnerluskogu</t>
  </si>
  <si>
    <t>Raplamaa Partnerluskogu</t>
  </si>
  <si>
    <t>Peipsi-Alutaguse Koostöökoda</t>
  </si>
  <si>
    <t>Pärnu Lahe Partnerluskogu</t>
  </si>
  <si>
    <t>Rohelise Jõemaa Koostöökogu</t>
  </si>
  <si>
    <t>Saarte Koostöökogu</t>
  </si>
  <si>
    <t>Tartumaa Arendusselts</t>
  </si>
  <si>
    <t>Valgamaa Partnerluskogu</t>
  </si>
  <si>
    <t>Virumaa Koostöökogu</t>
  </si>
  <si>
    <t>Võrtsjärve Ühendus</t>
  </si>
  <si>
    <t>11.04-15.04.2016</t>
  </si>
  <si>
    <t>Meede 2.1 "Ettevõtlus investeeringud"</t>
  </si>
  <si>
    <t>4-17.04.2016</t>
  </si>
  <si>
    <t>Meede 2.1 "Kogukonna investeeringute toetus"</t>
  </si>
  <si>
    <t>Meede 2.2 "Aktiivne ja tegus kogukond"</t>
  </si>
  <si>
    <t>Meede 3.1 "Ajaloo-ja kultuuripärandi väärtustamise investeeringute toetus"</t>
  </si>
  <si>
    <t>Meede 3.2 "Kultuuripärandi hoidmine"</t>
  </si>
  <si>
    <t>01.03-24.03.2016</t>
  </si>
  <si>
    <t>Meede 1 "Ettevõtete areng"</t>
  </si>
  <si>
    <t>619216390064</t>
  </si>
  <si>
    <t>619216390065</t>
  </si>
  <si>
    <t>619216390070</t>
  </si>
  <si>
    <t>619216390071</t>
  </si>
  <si>
    <t>619216390073</t>
  </si>
  <si>
    <t>619216390074</t>
  </si>
  <si>
    <t>619216390075</t>
  </si>
  <si>
    <t>619216390084</t>
  </si>
  <si>
    <t>619216390087</t>
  </si>
  <si>
    <t>619216390088</t>
  </si>
  <si>
    <t>619216390090</t>
  </si>
  <si>
    <t>619216390091</t>
  </si>
  <si>
    <t>619216390093</t>
  </si>
  <si>
    <t>619216390094</t>
  </si>
  <si>
    <t>619216390095</t>
  </si>
  <si>
    <t>619216390097</t>
  </si>
  <si>
    <t>619216390099</t>
  </si>
  <si>
    <t>619216390103</t>
  </si>
  <si>
    <t>619216390104</t>
  </si>
  <si>
    <t>619216390105</t>
  </si>
  <si>
    <t>Meede 3 "Uuenduslik kogukond"</t>
  </si>
  <si>
    <t>619216390066</t>
  </si>
  <si>
    <t>619216390078</t>
  </si>
  <si>
    <t>619216390079</t>
  </si>
  <si>
    <t>619216390080</t>
  </si>
  <si>
    <t>619216390081</t>
  </si>
  <si>
    <t>619216390082</t>
  </si>
  <si>
    <t>619216390089</t>
  </si>
  <si>
    <t>619216390092</t>
  </si>
  <si>
    <t>619216390098</t>
  </si>
  <si>
    <t>619216390100</t>
  </si>
  <si>
    <t>619216390106</t>
  </si>
  <si>
    <t>04.04.-22.04.2016</t>
  </si>
  <si>
    <t>Meede 2 "Külaarendus ja kogukonnateenused"</t>
  </si>
  <si>
    <t>619216390273</t>
  </si>
  <si>
    <t>619216390274</t>
  </si>
  <si>
    <t>619216390275</t>
  </si>
  <si>
    <t>619216390276</t>
  </si>
  <si>
    <t>619216390277</t>
  </si>
  <si>
    <t>619216390278</t>
  </si>
  <si>
    <t>619216390279</t>
  </si>
  <si>
    <t>619216390280</t>
  </si>
  <si>
    <t>619216390287</t>
  </si>
  <si>
    <t>619216390288</t>
  </si>
  <si>
    <t>619216390289</t>
  </si>
  <si>
    <t>619216390290</t>
  </si>
  <si>
    <t>619216390291</t>
  </si>
  <si>
    <t>619216390292</t>
  </si>
  <si>
    <t>619216390293</t>
  </si>
  <si>
    <t>619216390294</t>
  </si>
  <si>
    <t>619216390295</t>
  </si>
  <si>
    <t>619216390296</t>
  </si>
  <si>
    <t>619216390297</t>
  </si>
  <si>
    <t>619216390298</t>
  </si>
  <si>
    <t>619216390299</t>
  </si>
  <si>
    <t>619216390300</t>
  </si>
  <si>
    <t>619216390301</t>
  </si>
  <si>
    <t>619216390302</t>
  </si>
  <si>
    <t>619216390303</t>
  </si>
  <si>
    <t>Meede 4 "Arengukoostöö"</t>
  </si>
  <si>
    <t>619216390281</t>
  </si>
  <si>
    <t>619216390282</t>
  </si>
  <si>
    <t>619216390283</t>
  </si>
  <si>
    <t>619216390284</t>
  </si>
  <si>
    <t>619216390285</t>
  </si>
  <si>
    <t>619216390286</t>
  </si>
  <si>
    <t>Meede 1.1 "Ettevõtluse ühisprojektid"</t>
  </si>
  <si>
    <t>619216490135</t>
  </si>
  <si>
    <t>619216490157</t>
  </si>
  <si>
    <t>Meede 1.2 "Ettevõtluse investeeringud"</t>
  </si>
  <si>
    <t>619216490109</t>
  </si>
  <si>
    <t>619216490110</t>
  </si>
  <si>
    <t>619216490112</t>
  </si>
  <si>
    <t>619216490114</t>
  </si>
  <si>
    <t>619216490116</t>
  </si>
  <si>
    <t>619216490118</t>
  </si>
  <si>
    <t>619216490119</t>
  </si>
  <si>
    <t>619216490138</t>
  </si>
  <si>
    <t>619216490140</t>
  </si>
  <si>
    <t>619216490141</t>
  </si>
  <si>
    <t>619216490142</t>
  </si>
  <si>
    <t>619216490143</t>
  </si>
  <si>
    <t>619216490144</t>
  </si>
  <si>
    <t>619216490145</t>
  </si>
  <si>
    <t>619216490159</t>
  </si>
  <si>
    <t>619216490161</t>
  </si>
  <si>
    <t>619216490163</t>
  </si>
  <si>
    <t>619216490165</t>
  </si>
  <si>
    <t>619216490167</t>
  </si>
  <si>
    <t>Meede 2.1 "Kogukondade ühisprojektid"</t>
  </si>
  <si>
    <t>619216490120</t>
  </si>
  <si>
    <t>619216490121</t>
  </si>
  <si>
    <t>619216490137</t>
  </si>
  <si>
    <t>619216490139</t>
  </si>
  <si>
    <t>619216490181</t>
  </si>
  <si>
    <t>619216490182</t>
  </si>
  <si>
    <t>Meede 2.2 "Kogukondade investeeringud"</t>
  </si>
  <si>
    <t>619216490124</t>
  </si>
  <si>
    <t>619216490125</t>
  </si>
  <si>
    <t>619216490184</t>
  </si>
  <si>
    <t>619216490185</t>
  </si>
  <si>
    <t>619216490186</t>
  </si>
  <si>
    <t>619216490450</t>
  </si>
  <si>
    <t>619216490451</t>
  </si>
  <si>
    <t>619216490452</t>
  </si>
  <si>
    <t>619216490453</t>
  </si>
  <si>
    <t>619216490454</t>
  </si>
  <si>
    <t>619216490455</t>
  </si>
  <si>
    <t>619216490456</t>
  </si>
  <si>
    <t>619216490457</t>
  </si>
  <si>
    <t>619216490458</t>
  </si>
  <si>
    <t>619216490459</t>
  </si>
  <si>
    <t>619216490460</t>
  </si>
  <si>
    <t>619216490461</t>
  </si>
  <si>
    <t>619216490462</t>
  </si>
  <si>
    <t>14-31.03.16</t>
  </si>
  <si>
    <t>Meede 3 "Maakondlikud projektid"</t>
  </si>
  <si>
    <t>619216490107</t>
  </si>
  <si>
    <t>619216490108</t>
  </si>
  <si>
    <t>619216490111</t>
  </si>
  <si>
    <t>619216490113</t>
  </si>
  <si>
    <t>619216490115</t>
  </si>
  <si>
    <t>619216490117</t>
  </si>
  <si>
    <t>14-18.03.2016</t>
  </si>
  <si>
    <t>Meede 1.1 "Piirkonna eripäral ja kultuuripärandil põhineva ettevõtluse arendamine"</t>
  </si>
  <si>
    <t>619216370335</t>
  </si>
  <si>
    <t>619216370421</t>
  </si>
  <si>
    <t>619216370436</t>
  </si>
  <si>
    <t>619216370445</t>
  </si>
  <si>
    <t>619216570331</t>
  </si>
  <si>
    <t>619216570346</t>
  </si>
  <si>
    <t>619216570349</t>
  </si>
  <si>
    <t>619216570366</t>
  </si>
  <si>
    <t>619216570372</t>
  </si>
  <si>
    <t>619216570375</t>
  </si>
  <si>
    <t>619216570416</t>
  </si>
  <si>
    <t>619216570422</t>
  </si>
  <si>
    <t>619216570426</t>
  </si>
  <si>
    <t>619216570427</t>
  </si>
  <si>
    <t>619216570428</t>
  </si>
  <si>
    <t>619216570431</t>
  </si>
  <si>
    <t>619216570440</t>
  </si>
  <si>
    <t>Meede 1.2 "Ettevõtluseks vajalike tingimuste arendamine"</t>
  </si>
  <si>
    <t>619216370329</t>
  </si>
  <si>
    <t>619216570330</t>
  </si>
  <si>
    <t>619216370333</t>
  </si>
  <si>
    <t>619216570341</t>
  </si>
  <si>
    <t>619216570347</t>
  </si>
  <si>
    <t>619216570351</t>
  </si>
  <si>
    <t>619216570352</t>
  </si>
  <si>
    <t>619216570353</t>
  </si>
  <si>
    <t>619216570362</t>
  </si>
  <si>
    <t>619216570368</t>
  </si>
  <si>
    <t>619216570369</t>
  </si>
  <si>
    <t>619216570371</t>
  </si>
  <si>
    <t>619216570373</t>
  </si>
  <si>
    <t>619216570374</t>
  </si>
  <si>
    <t>619216570376</t>
  </si>
  <si>
    <t>619216570380</t>
  </si>
  <si>
    <t>619216860381</t>
  </si>
  <si>
    <t>619216570413</t>
  </si>
  <si>
    <t>619216570418</t>
  </si>
  <si>
    <t>619216570419</t>
  </si>
  <si>
    <t>619216570424</t>
  </si>
  <si>
    <t>619216570430</t>
  </si>
  <si>
    <t>619216570433</t>
  </si>
  <si>
    <t>619216570439</t>
  </si>
  <si>
    <t>619216570446</t>
  </si>
  <si>
    <t>619216570448</t>
  </si>
  <si>
    <t>Meede 2.1 "Piirkonna eripära ja kultuuripärandi arendamine"</t>
  </si>
  <si>
    <t>619216570354</t>
  </si>
  <si>
    <t>619216570356</t>
  </si>
  <si>
    <t>619216570358</t>
  </si>
  <si>
    <t>619216570364</t>
  </si>
  <si>
    <t>619216570365</t>
  </si>
  <si>
    <t>619216570383</t>
  </si>
  <si>
    <t>619216570415</t>
  </si>
  <si>
    <t>619216570420</t>
  </si>
  <si>
    <t>619216570423</t>
  </si>
  <si>
    <t>619216570432</t>
  </si>
  <si>
    <t>619216570438</t>
  </si>
  <si>
    <t>Meede 2.2 "Piirkonna arenguks vajalike teenuste kättesaadavuse suurendamine"</t>
  </si>
  <si>
    <t>619216570337</t>
  </si>
  <si>
    <t>619216570342</t>
  </si>
  <si>
    <t>619216570360</t>
  </si>
  <si>
    <t>619216570367</t>
  </si>
  <si>
    <t>619216570377</t>
  </si>
  <si>
    <t>619216570378</t>
  </si>
  <si>
    <t>619216570379</t>
  </si>
  <si>
    <t>619216570382</t>
  </si>
  <si>
    <t>619216570384</t>
  </si>
  <si>
    <t>619216570386</t>
  </si>
  <si>
    <t>619216570411</t>
  </si>
  <si>
    <t>619216570412</t>
  </si>
  <si>
    <t>619216570414</t>
  </si>
  <si>
    <t>619216570429</t>
  </si>
  <si>
    <t>619216570441</t>
  </si>
  <si>
    <t>619216570443</t>
  </si>
  <si>
    <t>619216570444</t>
  </si>
  <si>
    <t>11-17.04.2016</t>
  </si>
  <si>
    <t>Meede 1 "Kohaliku ettevõtluse areng"</t>
  </si>
  <si>
    <t>619216370469</t>
  </si>
  <si>
    <t>619216370470</t>
  </si>
  <si>
    <t>619216370471</t>
  </si>
  <si>
    <t>619216370472</t>
  </si>
  <si>
    <t>619216370473</t>
  </si>
  <si>
    <t>619216370474</t>
  </si>
  <si>
    <t>619216370475</t>
  </si>
  <si>
    <t>619216370476</t>
  </si>
  <si>
    <t>619216370477</t>
  </si>
  <si>
    <t>619216370481</t>
  </si>
  <si>
    <t>619216370482</t>
  </si>
  <si>
    <t>619216370521</t>
  </si>
  <si>
    <t>Meede 2 "Kogukondade aktiviseerimine ja sidusus"</t>
  </si>
  <si>
    <t>Meede 3 "Elukeskkonna väärtustamine"</t>
  </si>
  <si>
    <t>619216370463</t>
  </si>
  <si>
    <t>619216370464</t>
  </si>
  <si>
    <t>619216370465</t>
  </si>
  <si>
    <t>619216370466</t>
  </si>
  <si>
    <t>619216370467</t>
  </si>
  <si>
    <t>619216370468</t>
  </si>
  <si>
    <t>619216370483</t>
  </si>
  <si>
    <t>619216370484</t>
  </si>
  <si>
    <t>619216370485</t>
  </si>
  <si>
    <t>619216370486</t>
  </si>
  <si>
    <t>619216370487</t>
  </si>
  <si>
    <t>619216370488</t>
  </si>
  <si>
    <t>619216370489</t>
  </si>
  <si>
    <t>1.03.-1.04.2016</t>
  </si>
  <si>
    <t>Meede 3 "Kogukonna edendamine"</t>
  </si>
  <si>
    <t>619216700304</t>
  </si>
  <si>
    <t>619216700305</t>
  </si>
  <si>
    <t>619216700306</t>
  </si>
  <si>
    <t>619216700307</t>
  </si>
  <si>
    <t>619216700308</t>
  </si>
  <si>
    <t>619216700309</t>
  </si>
  <si>
    <t>619216700310</t>
  </si>
  <si>
    <t>619216700311</t>
  </si>
  <si>
    <t>619216700312</t>
  </si>
  <si>
    <t>619216700313</t>
  </si>
  <si>
    <t>619216700314</t>
  </si>
  <si>
    <t>619216700315</t>
  </si>
  <si>
    <t>619216700316</t>
  </si>
  <si>
    <t>619216700317</t>
  </si>
  <si>
    <t>619216700318</t>
  </si>
  <si>
    <t>28.03-08.04.2016</t>
  </si>
  <si>
    <t>Meede 3 "Kogukonna arendamine ja aktiviseerimine"</t>
  </si>
  <si>
    <t>619216440248</t>
  </si>
  <si>
    <t>619216440249</t>
  </si>
  <si>
    <t>619216440250</t>
  </si>
  <si>
    <t>619216440251</t>
  </si>
  <si>
    <t>619216440252</t>
  </si>
  <si>
    <t>619216440253</t>
  </si>
  <si>
    <t>619216440254</t>
  </si>
  <si>
    <t>619216440255</t>
  </si>
  <si>
    <t>619216440256</t>
  </si>
  <si>
    <t>619216440257</t>
  </si>
  <si>
    <t>619216440258</t>
  </si>
  <si>
    <t>619216370259</t>
  </si>
  <si>
    <t>619216440260</t>
  </si>
  <si>
    <t>619216440261</t>
  </si>
  <si>
    <t>619216440262</t>
  </si>
  <si>
    <t>619216440263</t>
  </si>
  <si>
    <t>619216440264</t>
  </si>
  <si>
    <t>619216370265</t>
  </si>
  <si>
    <t>619216440266</t>
  </si>
  <si>
    <t>619216440267</t>
  </si>
  <si>
    <t>619216440268</t>
  </si>
  <si>
    <t>619216440269</t>
  </si>
  <si>
    <t>619216440271</t>
  </si>
  <si>
    <t>01.04.-14.04.2016</t>
  </si>
  <si>
    <t>Meede 1.1.1 "Piirkonna arengutoetus"</t>
  </si>
  <si>
    <t>619216370520</t>
  </si>
  <si>
    <t>619216510492</t>
  </si>
  <si>
    <t>619216510493</t>
  </si>
  <si>
    <t>619216510494</t>
  </si>
  <si>
    <t>619216510495</t>
  </si>
  <si>
    <t>619216510514</t>
  </si>
  <si>
    <t>619216510515</t>
  </si>
  <si>
    <t>619216510516</t>
  </si>
  <si>
    <t>619216510517</t>
  </si>
  <si>
    <t>619216510518</t>
  </si>
  <si>
    <t>619216510519</t>
  </si>
  <si>
    <t>619216510522</t>
  </si>
  <si>
    <t>619216510523</t>
  </si>
  <si>
    <t>619216510524</t>
  </si>
  <si>
    <t>619216510525</t>
  </si>
  <si>
    <t>619216510526</t>
  </si>
  <si>
    <t>Meede 1.1.2 "Piirkonna arengu suurprojektide toetus"</t>
  </si>
  <si>
    <t>619216510496</t>
  </si>
  <si>
    <t>619216510497</t>
  </si>
  <si>
    <t>619216510498</t>
  </si>
  <si>
    <t>619216510527</t>
  </si>
  <si>
    <t>619216510528</t>
  </si>
  <si>
    <t>619216510529</t>
  </si>
  <si>
    <t>619216510538</t>
  </si>
  <si>
    <t>Meede 1.2 "Kogukonna ühisprojektide toetus"</t>
  </si>
  <si>
    <t>Meede 1.3 "Loodus-, kultuuri- ja ajaloopärandi säilitamine"</t>
  </si>
  <si>
    <t>619216510504</t>
  </si>
  <si>
    <t>619216510505</t>
  </si>
  <si>
    <t>619216510506</t>
  </si>
  <si>
    <t>619216510507</t>
  </si>
  <si>
    <t>619216510508</t>
  </si>
  <si>
    <t>619216510509</t>
  </si>
  <si>
    <t>619216510510</t>
  </si>
  <si>
    <t>619216510532</t>
  </si>
  <si>
    <t>619216510533</t>
  </si>
  <si>
    <t>619216510534</t>
  </si>
  <si>
    <t>619216510535</t>
  </si>
  <si>
    <t>619216510536</t>
  </si>
  <si>
    <t>619216510537</t>
  </si>
  <si>
    <t>619216370540</t>
  </si>
  <si>
    <t>619216510541</t>
  </si>
  <si>
    <t>619216510542</t>
  </si>
  <si>
    <t>619216510543</t>
  </si>
  <si>
    <t>619216510544</t>
  </si>
  <si>
    <t>619216510545</t>
  </si>
  <si>
    <t>619216510546</t>
  </si>
  <si>
    <t>619216510547</t>
  </si>
  <si>
    <t>Meede 1.4 "Kodukoha aktiivne ja ettevõtlik noor"</t>
  </si>
  <si>
    <t>Meede 3.1 "Uuenduslikud ja keskkonnasõbralikud lahendused ettevõtetele</t>
  </si>
  <si>
    <t>619216510499</t>
  </si>
  <si>
    <t>619216510500</t>
  </si>
  <si>
    <t>619216510501</t>
  </si>
  <si>
    <t>619216510530</t>
  </si>
  <si>
    <t>619216510531</t>
  </si>
  <si>
    <t>31.03-14.04.2016</t>
  </si>
  <si>
    <t>Meede 2 "Elujõuliste kogukondade arendamine ja elukeskkonna parendamine"</t>
  </si>
  <si>
    <t>619216740549</t>
  </si>
  <si>
    <t>619216740550</t>
  </si>
  <si>
    <t>619216740551</t>
  </si>
  <si>
    <t>619216740552</t>
  </si>
  <si>
    <t>619216370553</t>
  </si>
  <si>
    <t>619216740554</t>
  </si>
  <si>
    <t>619216740555</t>
  </si>
  <si>
    <t>619216740556</t>
  </si>
  <si>
    <t>619216740557</t>
  </si>
  <si>
    <t>619216740558</t>
  </si>
  <si>
    <t>619216740559</t>
  </si>
  <si>
    <t>619216740560</t>
  </si>
  <si>
    <t>619216740561</t>
  </si>
  <si>
    <t>619216740562</t>
  </si>
  <si>
    <t>619216740563</t>
  </si>
  <si>
    <t>619216740564</t>
  </si>
  <si>
    <t>619216740565</t>
  </si>
  <si>
    <t>619216740566</t>
  </si>
  <si>
    <t>619216740567</t>
  </si>
  <si>
    <t>619216740568</t>
  </si>
  <si>
    <t>619216370569</t>
  </si>
  <si>
    <t>619216780570</t>
  </si>
  <si>
    <t>619216740571</t>
  </si>
  <si>
    <t>619216740572</t>
  </si>
  <si>
    <t>619216740573</t>
  </si>
  <si>
    <t>619216740574</t>
  </si>
  <si>
    <t>619216740575</t>
  </si>
  <si>
    <t>619216370576</t>
  </si>
  <si>
    <t>619216740577</t>
  </si>
  <si>
    <t>619216740578</t>
  </si>
  <si>
    <t>619216740579</t>
  </si>
  <si>
    <t>619216740580</t>
  </si>
  <si>
    <t>619216740582</t>
  </si>
  <si>
    <t>619216740583</t>
  </si>
  <si>
    <t>619216740584</t>
  </si>
  <si>
    <t>619216740585</t>
  </si>
  <si>
    <t>619216740586</t>
  </si>
  <si>
    <t>619216740587</t>
  </si>
  <si>
    <t>619216740588</t>
  </si>
  <si>
    <t>619216740589</t>
  </si>
  <si>
    <t>619216740590</t>
  </si>
  <si>
    <t>619216740591</t>
  </si>
  <si>
    <t>02.-05.05.2016</t>
  </si>
  <si>
    <t>Meede 1.2 "Kasvav Pandivere"</t>
  </si>
  <si>
    <t>09.05-13.05.2016</t>
  </si>
  <si>
    <t>Meede 1.2 "Kohaliku kultuuri arendamine"</t>
  </si>
  <si>
    <t>JAH</t>
  </si>
  <si>
    <t>EI</t>
  </si>
  <si>
    <t>01-14.04.2016</t>
  </si>
  <si>
    <t>Meede 1 "Ettevõtlusele hoo andmine"</t>
  </si>
  <si>
    <t>Meede 2 "Kogukondade ja kogukonnateenuste arendamine"</t>
  </si>
  <si>
    <t>Meede 3 "Heakorrastatud ja turvaline elukeskkond"</t>
  </si>
  <si>
    <t>03.05-17.05.2016</t>
  </si>
  <si>
    <t>Meede 2.1 "Aktiivne kogukond ja noored  - vahendid ja seadmed uute tegevusvõimaluste loomiseks"</t>
  </si>
  <si>
    <t>Meede 2.2 "Väärt elukeskkond - investeeringud kogukonna- ja noortekeskuste tegevusvõimaluste laiendamiseks kogukonnakokkuleppe alusel"</t>
  </si>
  <si>
    <t>01-30.04.2016</t>
  </si>
  <si>
    <t>Meede 1 "Elukeskkonna arendamine"</t>
  </si>
  <si>
    <t>Meede 2 "Ettevõtluse arendamine"</t>
  </si>
  <si>
    <t>Meede 3.1 "Ühistegevuse arendamine"</t>
  </si>
  <si>
    <t>04.04-08.04.2016</t>
  </si>
  <si>
    <t>Meede 2 "Aktiivne kogukond"</t>
  </si>
  <si>
    <t>Meede 3 "Romantilise rannatee ühistegevus ja turundus"</t>
  </si>
  <si>
    <t>16.-19.05.2016</t>
  </si>
  <si>
    <t>Meede 1.3 "Ettevõtlik Pandivere"</t>
  </si>
  <si>
    <t>1.04-1.05.2016</t>
  </si>
  <si>
    <t>Meede 2 "Ettevõtluse konkurentsivõime tugevdamine"</t>
  </si>
  <si>
    <t>06.-13.05.2016</t>
  </si>
  <si>
    <t>Meede 2.1 "Tänapäevane ettevõtluskeskkond"</t>
  </si>
  <si>
    <t>Meede 2.1 "Tänapäeva ettevõtluskeskkond"</t>
  </si>
  <si>
    <t>Meede 2.2 "Kohalikud tooted ja turundus"</t>
  </si>
  <si>
    <t>Meede 1 "Elukeskkonna parendamine ja maaelu põhiteenuse kvaliteedi tõstmine"</t>
  </si>
  <si>
    <t>1.04.-1.05.2016</t>
  </si>
  <si>
    <t>Meede 1 "Ettevõtluse arendamine ja kompetentsi tõstmine"</t>
  </si>
  <si>
    <t>Meede 2 "Elukeskkonna arendamine"</t>
  </si>
  <si>
    <t>Meede 3 "Koostöö ja ühistegevuse arendamine"</t>
  </si>
  <si>
    <t>*Ei arvutatud, kuna ei ületanud hindamiskriteeriumi lävendit</t>
  </si>
  <si>
    <t>Ei arvutatud*</t>
  </si>
  <si>
    <t>Võrumaa Partnerluskogu</t>
  </si>
  <si>
    <t>05.-20.05.2016</t>
  </si>
  <si>
    <t>Meede 1.1 "Külakogukondade arendamine"</t>
  </si>
  <si>
    <t>Meede 1.2 "Kultuuripärandi säilitamine läbi ühiskoostöö"</t>
  </si>
  <si>
    <t>Meede 2.1 "Ettevõtluskeskkonna arendamine"</t>
  </si>
  <si>
    <t>Meede 2.2 "Väiketootmisettevõtete arendamine"</t>
  </si>
  <si>
    <t>09.-16.05.2016</t>
  </si>
  <si>
    <t>Meede 3 "Ühistegevuse arendamine"</t>
  </si>
  <si>
    <t>05.05-11.05.2016</t>
  </si>
  <si>
    <t>Meede 1 "Konkurentsivõimeline ettevõtlus"</t>
  </si>
  <si>
    <t>Meede 2 "Atraktiivne elukeskkond ja toimiv kodanikuühiskond"</t>
  </si>
  <si>
    <t>Meede 3 "Kogukonnaga sidustunud aktiivsed noored"</t>
  </si>
  <si>
    <t>25.04-13.05.2016</t>
  </si>
  <si>
    <t>Meede 2 "Külakeskkonna ja -kogukonna arendamine"</t>
  </si>
  <si>
    <t>Tegevusgrupi otsus</t>
  </si>
  <si>
    <t>Meede 3 "Konkurentsivõimeline ja omanäoline piirkond"</t>
  </si>
  <si>
    <t>28.03-08.04.2017</t>
  </si>
  <si>
    <t>18.-30.04.2016</t>
  </si>
  <si>
    <t>Meede 2 "Kivi seina"</t>
  </si>
  <si>
    <t>Meede 4.1 "Kogukonna meede"</t>
  </si>
  <si>
    <t>Meede 4.2 "Külakeskuste meede"</t>
  </si>
  <si>
    <t>25-29.04.2016, 12-16.09.2016</t>
  </si>
  <si>
    <t>Meede 1 "Ettevõtluse arendamine ja mitmekesistamine"</t>
  </si>
  <si>
    <t>619216671240</t>
  </si>
  <si>
    <t>619216671246</t>
  </si>
  <si>
    <t>619216671248</t>
  </si>
  <si>
    <t>619216671250</t>
  </si>
  <si>
    <t>619216671252</t>
  </si>
  <si>
    <t>619216671254</t>
  </si>
  <si>
    <t>619216671258</t>
  </si>
  <si>
    <t>619216671259</t>
  </si>
  <si>
    <t>3.-13.06.2016</t>
  </si>
  <si>
    <t>Meede 1.1 "Ettevõtlikus"</t>
  </si>
  <si>
    <t>Meede 2.1 "Kogukond"</t>
  </si>
  <si>
    <t>Meede 2.2 "Elukeskkond"</t>
  </si>
  <si>
    <t>619216861233 </t>
  </si>
  <si>
    <t>Meede 1.2 "Investeeringud kogukonnale vajalikesse elukondlikesse teenustesse, sh kogukonnateenustesse"</t>
  </si>
  <si>
    <t>619216821335</t>
  </si>
  <si>
    <t>Meede 1 "Mikroettevõtluse arendamine"</t>
  </si>
  <si>
    <t>Meede 2 "Turismiteenuste ja -toodete arendamine"</t>
  </si>
  <si>
    <t>Meede 3 "Nutikate energialahenduste kasutusele võtmine"</t>
  </si>
  <si>
    <t>Meede 4 "Piirkonna kompetentside tõstmine"</t>
  </si>
  <si>
    <t>15-19.08.2016</t>
  </si>
  <si>
    <t>15-22.08.2016</t>
  </si>
  <si>
    <t>Meede 1 "Kogukonna investeeringute toetamine"</t>
  </si>
  <si>
    <t>Meede 3 "Mikroettevõtluse arendamine"</t>
  </si>
  <si>
    <t>Meede 4 Turismiteenuste arendamine ja edendamine</t>
  </si>
  <si>
    <t>619216840954</t>
  </si>
  <si>
    <t>619216840918</t>
  </si>
  <si>
    <t>619216670936</t>
  </si>
  <si>
    <t>619216840934</t>
  </si>
  <si>
    <t>Meede 1 "Ettevõtete konkurentsivõime suurendamine ja ühistegevus"</t>
  </si>
  <si>
    <t>12.09.-26.09.2016</t>
  </si>
  <si>
    <t>IHS 13-21,2/16/52-8</t>
  </si>
  <si>
    <t>12-21.09.2016</t>
  </si>
  <si>
    <t>Meede 1.1 "Elulaadiettevõtluse toetus"</t>
  </si>
  <si>
    <t>01.09.-14.09.2016</t>
  </si>
  <si>
    <t>Meede 2.1:  Ettevõtluse turundustoetus</t>
  </si>
  <si>
    <t>619216591393</t>
  </si>
  <si>
    <t>Meede 2.2: Ettevõtluse arengutoetus</t>
  </si>
  <si>
    <t>619216511376</t>
  </si>
  <si>
    <t>619216511369</t>
  </si>
  <si>
    <t>619216511386</t>
  </si>
  <si>
    <t>619216511388</t>
  </si>
  <si>
    <t>619216511395</t>
  </si>
  <si>
    <t>619216511367</t>
  </si>
  <si>
    <t>619216511398</t>
  </si>
  <si>
    <t>619216511403</t>
  </si>
  <si>
    <t>619216511397</t>
  </si>
  <si>
    <t>619216511375</t>
  </si>
  <si>
    <t>619216511373</t>
  </si>
  <si>
    <t>619216511377</t>
  </si>
  <si>
    <t>619216511371</t>
  </si>
  <si>
    <t>619216511391</t>
  </si>
  <si>
    <t>619216511381</t>
  </si>
  <si>
    <t>Meede 2.3: Arenguhüpe ettevõtluses</t>
  </si>
  <si>
    <t>619216511396</t>
  </si>
  <si>
    <t>619216511392</t>
  </si>
  <si>
    <t>619216511384</t>
  </si>
  <si>
    <t>619216511383</t>
  </si>
  <si>
    <t>619216511399</t>
  </si>
  <si>
    <t>619216511413</t>
  </si>
  <si>
    <t>619216511416</t>
  </si>
  <si>
    <t>619216511410</t>
  </si>
  <si>
    <t>619216511408</t>
  </si>
  <si>
    <t>Meede 3.2:  Uuenduslikud ja keskkonnasõbralikud lahendused ettevõtetele</t>
  </si>
  <si>
    <t>29.08-16.09.2015</t>
  </si>
  <si>
    <t>Meede 1.1 "Investeeringud häid töökohti säilitavasse ja/või loovasse mikroettevõtlusse"</t>
  </si>
  <si>
    <t>619216821362</t>
  </si>
  <si>
    <t>29.08-16.09.2016</t>
  </si>
  <si>
    <t>619216821363</t>
  </si>
  <si>
    <t>619216821364</t>
  </si>
  <si>
    <t>619216821365</t>
  </si>
  <si>
    <t>619216821366</t>
  </si>
  <si>
    <t>619216821368</t>
  </si>
  <si>
    <t>619216821370</t>
  </si>
  <si>
    <t>619216821372</t>
  </si>
  <si>
    <t>619216821374</t>
  </si>
  <si>
    <t>619216821378</t>
  </si>
  <si>
    <t>619216821380</t>
  </si>
  <si>
    <t>619216821382</t>
  </si>
  <si>
    <t>Meede 1.3 "Piirkondlike võrgustike arendamine"</t>
  </si>
  <si>
    <t>619216821424</t>
  </si>
  <si>
    <t>619216821421</t>
  </si>
  <si>
    <t>619216821419</t>
  </si>
  <si>
    <t>Meede 3.1 "Valgamaa maineüritused - üle eestilise kõlapinnaga Valgamaale tähelepanu tõmbavate ettevõtmiste/ürituste turundus"</t>
  </si>
  <si>
    <t>619216821420</t>
  </si>
  <si>
    <t>Meede 3.2 "Maale elama-tüüpi projektid, mis turundavad tegevuspiirkonda väärt elukohana"</t>
  </si>
  <si>
    <t>619216821423</t>
  </si>
  <si>
    <t>619216821427</t>
  </si>
  <si>
    <t>619216821417</t>
  </si>
  <si>
    <t>Meede 3.3 "Valgamaa turundus turismi sihtkohana ning ettevõtluskeskkonnana"</t>
  </si>
  <si>
    <t>619216821422</t>
  </si>
  <si>
    <t>619216781428</t>
  </si>
  <si>
    <t>619216821426</t>
  </si>
  <si>
    <t>619216821425</t>
  </si>
  <si>
    <t>18.07-05.08.2016</t>
  </si>
  <si>
    <t>619216821385</t>
  </si>
  <si>
    <t>619216821387</t>
  </si>
  <si>
    <t>619216821389</t>
  </si>
  <si>
    <t>619216821390</t>
  </si>
  <si>
    <t>619216821400</t>
  </si>
  <si>
    <t>619216821402</t>
  </si>
  <si>
    <t>619216821405</t>
  </si>
  <si>
    <t>619216821406</t>
  </si>
  <si>
    <t>619216821407</t>
  </si>
  <si>
    <t>619216821409</t>
  </si>
  <si>
    <t>Koht paremusjärjestuses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</si>
  <si>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</si>
  <si>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</si>
  <si>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</si>
  <si>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</si>
  <si>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</si>
  <si>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</si>
  <si>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</si>
  <si>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</si>
  <si>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</si>
  <si>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</si>
  <si>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</si>
  <si>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</si>
  <si>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</si>
  <si>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</si>
  <si>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</si>
  <si>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</si>
  <si>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</si>
  <si>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</si>
  <si>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</si>
  <si>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</si>
  <si>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</si>
  <si>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</si>
  <si>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</si>
  <si>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03.-06.10.2106</t>
  </si>
  <si>
    <t>Meede 1.4 "Puhas pandivere"</t>
  </si>
  <si>
    <t>619216591461</t>
  </si>
  <si>
    <t>619216591462</t>
  </si>
  <si>
    <t>619216591459</t>
  </si>
  <si>
    <t>619216371460</t>
  </si>
  <si>
    <t>04.-07.04.2016</t>
  </si>
  <si>
    <t>Meede 2.2 "Kultuuriküllane Pandivere"</t>
  </si>
  <si>
    <t>619216590059</t>
  </si>
  <si>
    <t>619216590060</t>
  </si>
  <si>
    <t>619216590061</t>
  </si>
  <si>
    <t>619216590062</t>
  </si>
  <si>
    <t>619216590063</t>
  </si>
  <si>
    <t>Meede 1.2 Mikro- ja väikeettevõtete arendamine</t>
  </si>
  <si>
    <t>Ei arvutatud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</si>
  <si>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</si>
  <si>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</si>
  <si>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</si>
  <si>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</si>
  <si>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</si>
  <si>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</si>
  <si>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</si>
  <si>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</si>
  <si>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</si>
  <si>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</si>
  <si>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</si>
  <si>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</si>
  <si>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</si>
  <si>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Muudetud 16.11.2016</t>
  </si>
  <si>
    <t>12.09.2016- 16.09.2016</t>
  </si>
  <si>
    <t>Meede 1.1 Väiketootmise ja teenuste arendamine</t>
  </si>
  <si>
    <t>Meede 1.2 Turismiettevõtluse arendamine</t>
  </si>
  <si>
    <t>Meede 2.1 Kohalike traditsioonide hoidmine ja arendamine</t>
  </si>
  <si>
    <t>Meede 2.2 Noorte aktiviseerimine</t>
  </si>
  <si>
    <t>Meede 3.1 TASi piirkonda jäävate võrgustike loomine ja arendamine</t>
  </si>
  <si>
    <t>Meede 3.2 Regionaalse ja rahvusvahelise koostöö edendamine</t>
  </si>
  <si>
    <t>22.08-22.09.2016</t>
  </si>
  <si>
    <t>29.08.-16.09.2016</t>
  </si>
  <si>
    <t>Meede1 "Ettevõtluse arendamine"</t>
  </si>
  <si>
    <t>08.-14.10.2016</t>
  </si>
  <si>
    <t>Meede 2 "Peipsiääre väljaarendamine kvaliteetseks turismisihtkohaks"</t>
  </si>
  <si>
    <t>8.-14.10.2016</t>
  </si>
  <si>
    <t>Meede 1 "Kohalikul ressursil baseeruva ettevõtluse arendamine"</t>
  </si>
  <si>
    <t>7.-13.11.2016</t>
  </si>
  <si>
    <t>Meede 1.2 Tooted ja teenused</t>
  </si>
  <si>
    <t>Meede 2.1 Kogukond</t>
  </si>
  <si>
    <t>Meede 2.2 Elukeskkond</t>
  </si>
  <si>
    <t>619216591684</t>
  </si>
  <si>
    <t>619216591685</t>
  </si>
  <si>
    <t>619216591686</t>
  </si>
  <si>
    <t>619216591687</t>
  </si>
  <si>
    <t>619216591688</t>
  </si>
  <si>
    <t>619216591689</t>
  </si>
  <si>
    <t>619216591691</t>
  </si>
  <si>
    <t>619216591690</t>
  </si>
  <si>
    <t>619216591693</t>
  </si>
  <si>
    <t>619216591692</t>
  </si>
  <si>
    <t>619216591694</t>
  </si>
  <si>
    <t>619216591695</t>
  </si>
  <si>
    <t>619216591696</t>
  </si>
  <si>
    <t>619216591697</t>
  </si>
  <si>
    <t>24.-28.10.2016</t>
  </si>
  <si>
    <t>Meede 1.1 "Eluskeskkonna investeeringud"</t>
  </si>
  <si>
    <t>01.-15.11.2016</t>
  </si>
  <si>
    <t>07.11-10.11.2016</t>
  </si>
  <si>
    <t>02.-06.05.2016</t>
  </si>
  <si>
    <t>05.12.-08.12.2016</t>
  </si>
  <si>
    <t>23.01.-26.01.2017</t>
  </si>
  <si>
    <t>30.01-06.02.2017</t>
  </si>
  <si>
    <t>619217371858</t>
  </si>
  <si>
    <t>619217741849</t>
  </si>
  <si>
    <t>619217741850</t>
  </si>
  <si>
    <t>619217741851</t>
  </si>
  <si>
    <t>619217741852</t>
  </si>
  <si>
    <t>619217741853</t>
  </si>
  <si>
    <t>619217741854</t>
  </si>
  <si>
    <t>619217741855</t>
  </si>
  <si>
    <t>619217741856</t>
  </si>
  <si>
    <t>619217741857</t>
  </si>
  <si>
    <t>619217741859</t>
  </si>
  <si>
    <t>619217741860</t>
  </si>
  <si>
    <t>619217741861</t>
  </si>
  <si>
    <t>619217741862</t>
  </si>
  <si>
    <t>619217741863</t>
  </si>
  <si>
    <t>619217741864</t>
  </si>
  <si>
    <t>619217741865</t>
  </si>
  <si>
    <t>619217741866</t>
  </si>
  <si>
    <t>619217741867</t>
  </si>
  <si>
    <t>619217741868</t>
  </si>
  <si>
    <t>619217741869</t>
  </si>
  <si>
    <t>619217741870</t>
  </si>
  <si>
    <t>619217741871</t>
  </si>
  <si>
    <t>619217741872</t>
  </si>
  <si>
    <t>619217371873</t>
  </si>
  <si>
    <t>619217741874</t>
  </si>
  <si>
    <t>619217741875</t>
  </si>
  <si>
    <t>619217741876</t>
  </si>
  <si>
    <t>619217741877</t>
  </si>
  <si>
    <t>619217741878</t>
  </si>
  <si>
    <t>619217741879</t>
  </si>
  <si>
    <t>619217741880</t>
  </si>
  <si>
    <t>619217741881</t>
  </si>
  <si>
    <t>619217741882</t>
  </si>
  <si>
    <t>619217741883</t>
  </si>
  <si>
    <t>619217741884</t>
  </si>
  <si>
    <t>619217741885</t>
  </si>
  <si>
    <t>619217741886</t>
  </si>
  <si>
    <t>619217741887</t>
  </si>
  <si>
    <t>619217741888</t>
  </si>
  <si>
    <t>23-30.01.2017</t>
  </si>
  <si>
    <t>619217371824</t>
  </si>
  <si>
    <t>619217371825</t>
  </si>
  <si>
    <t>619217371826</t>
  </si>
  <si>
    <t>619217371827</t>
  </si>
  <si>
    <t>619217371828</t>
  </si>
  <si>
    <t>619217371829</t>
  </si>
  <si>
    <t>619217371830</t>
  </si>
  <si>
    <t>619217371831</t>
  </si>
  <si>
    <t>619217371832</t>
  </si>
  <si>
    <t>619217371833</t>
  </si>
  <si>
    <t>619217371834</t>
  </si>
  <si>
    <t>619217371835</t>
  </si>
  <si>
    <t>619217371836</t>
  </si>
  <si>
    <t>619217371839</t>
  </si>
  <si>
    <t>619217371850</t>
  </si>
  <si>
    <t>619217511838</t>
  </si>
  <si>
    <t>619217371844</t>
  </si>
  <si>
    <t>619217371841</t>
  </si>
  <si>
    <t>619217371823</t>
  </si>
  <si>
    <t>619217371845</t>
  </si>
  <si>
    <t>619217371843</t>
  </si>
  <si>
    <t>619217371846</t>
  </si>
  <si>
    <t>619217371847</t>
  </si>
  <si>
    <t>619217371840</t>
  </si>
  <si>
    <t>619217371842</t>
  </si>
  <si>
    <t>06.-09.03.2017</t>
  </si>
  <si>
    <t>15.02-01.03.2017</t>
  </si>
  <si>
    <t>88.36</t>
  </si>
  <si>
    <t>77.18</t>
  </si>
  <si>
    <t>56.27</t>
  </si>
  <si>
    <t>10.-17.02.2017</t>
  </si>
  <si>
    <t>13.03.-17.03.2017</t>
  </si>
  <si>
    <t>20.-27.02.2017</t>
  </si>
  <si>
    <t>Taotleja loobus taotlemisest!</t>
  </si>
  <si>
    <t>Meede 5 "Noorte aktiviseerimine ja kaasamine"</t>
  </si>
  <si>
    <t>13.02.-20.02.17</t>
  </si>
  <si>
    <t>13.02.-20.02.2017</t>
  </si>
  <si>
    <t>20.02.-28.02.2017</t>
  </si>
  <si>
    <t>06.03-15.03.2017</t>
  </si>
  <si>
    <t>06.-15.03.2017</t>
  </si>
  <si>
    <t>20.03.-23.03.2017</t>
  </si>
  <si>
    <t>01.02.-07.02.2017</t>
  </si>
  <si>
    <t>27.02.-15.03.2017</t>
  </si>
  <si>
    <t>619217652302</t>
  </si>
  <si>
    <t>619217862303</t>
  </si>
  <si>
    <t>619217652304</t>
  </si>
  <si>
    <t>619217652305</t>
  </si>
  <si>
    <t>619217652307</t>
  </si>
  <si>
    <t>619217862306</t>
  </si>
  <si>
    <t>619217652310</t>
  </si>
  <si>
    <t>619217652309</t>
  </si>
  <si>
    <t>619217652308</t>
  </si>
  <si>
    <t>619217652311</t>
  </si>
  <si>
    <t>619217652313</t>
  </si>
  <si>
    <t>619217862312</t>
  </si>
  <si>
    <t>619217862314</t>
  </si>
  <si>
    <t>619217862315</t>
  </si>
  <si>
    <t>619217862316</t>
  </si>
  <si>
    <t>619217862317</t>
  </si>
  <si>
    <t>619217652318</t>
  </si>
  <si>
    <t>619217862319</t>
  </si>
  <si>
    <t>619217652321</t>
  </si>
  <si>
    <t>619217652320</t>
  </si>
  <si>
    <t>619217652322</t>
  </si>
  <si>
    <t>619217652323</t>
  </si>
  <si>
    <t>619217652324</t>
  </si>
  <si>
    <t>619217862325</t>
  </si>
  <si>
    <t>619217372327</t>
  </si>
  <si>
    <t>619217652326</t>
  </si>
  <si>
    <t>619217652328</t>
  </si>
  <si>
    <t>619217652329</t>
  </si>
  <si>
    <t>619217652330</t>
  </si>
  <si>
    <t>619217652331</t>
  </si>
  <si>
    <t>619217862332</t>
  </si>
  <si>
    <t>619217652333</t>
  </si>
  <si>
    <t>619217652334</t>
  </si>
  <si>
    <t>619217652335</t>
  </si>
  <si>
    <t>619217652336</t>
  </si>
  <si>
    <t>619217652338</t>
  </si>
  <si>
    <t>619217782337</t>
  </si>
  <si>
    <t>619217862339</t>
  </si>
  <si>
    <t>619217862340</t>
  </si>
  <si>
    <t>619217862343</t>
  </si>
  <si>
    <t>619217652342</t>
  </si>
  <si>
    <t>619217652341</t>
  </si>
  <si>
    <t>619217652344</t>
  </si>
  <si>
    <t>619217862300</t>
  </si>
  <si>
    <t>619217862301</t>
  </si>
  <si>
    <t>01.02.-1.03.2017</t>
  </si>
  <si>
    <t>Meede 1 "Kogukonna investeeringud"</t>
  </si>
  <si>
    <t>619217702437</t>
  </si>
  <si>
    <t>619217702436</t>
  </si>
  <si>
    <t>619217702435</t>
  </si>
  <si>
    <t>619217702432</t>
  </si>
  <si>
    <t>619217702430</t>
  </si>
  <si>
    <t>619217702417</t>
  </si>
  <si>
    <t>619217702415</t>
  </si>
  <si>
    <t>619217702404</t>
  </si>
  <si>
    <t>619217702384</t>
  </si>
  <si>
    <t>619217702376</t>
  </si>
  <si>
    <t>619217702375</t>
  </si>
  <si>
    <t>619217702357</t>
  </si>
  <si>
    <t>619217702433</t>
  </si>
  <si>
    <t>619217702429</t>
  </si>
  <si>
    <t>619217702428</t>
  </si>
  <si>
    <t>619217702427</t>
  </si>
  <si>
    <t>619217702426</t>
  </si>
  <si>
    <t>619217702425</t>
  </si>
  <si>
    <t>619217702424</t>
  </si>
  <si>
    <t>619217702423</t>
  </si>
  <si>
    <t>619217702421</t>
  </si>
  <si>
    <t>619217702420</t>
  </si>
  <si>
    <t>619217702418</t>
  </si>
  <si>
    <t>619217702413</t>
  </si>
  <si>
    <t>619217702383</t>
  </si>
  <si>
    <t>619217702382</t>
  </si>
  <si>
    <t>619217702381</t>
  </si>
  <si>
    <t>619217702380</t>
  </si>
  <si>
    <t>619217702379</t>
  </si>
  <si>
    <t>619217702378</t>
  </si>
  <si>
    <t>619217702377</t>
  </si>
  <si>
    <t>619217702352</t>
  </si>
  <si>
    <t>619217702434</t>
  </si>
  <si>
    <t>619217702411</t>
  </si>
  <si>
    <t>619217702409</t>
  </si>
  <si>
    <t>hindamata</t>
  </si>
  <si>
    <t>619217442160</t>
  </si>
  <si>
    <t>619217442161</t>
  </si>
  <si>
    <t>619217442162</t>
  </si>
  <si>
    <t>619217442290</t>
  </si>
  <si>
    <t>619217442163</t>
  </si>
  <si>
    <t>619217442164</t>
  </si>
  <si>
    <t>6.-13.03.2017</t>
  </si>
  <si>
    <t>619217442299</t>
  </si>
  <si>
    <t>619217442298</t>
  </si>
  <si>
    <t>619217442297</t>
  </si>
  <si>
    <t>619217442165</t>
  </si>
  <si>
    <t>619217442166</t>
  </si>
  <si>
    <t>619217442167</t>
  </si>
  <si>
    <t>619217442168</t>
  </si>
  <si>
    <t>619217442518</t>
  </si>
  <si>
    <t>619217372293</t>
  </si>
  <si>
    <t>619217442294</t>
  </si>
  <si>
    <t>ei arvutatud</t>
  </si>
  <si>
    <t>619217442295</t>
  </si>
  <si>
    <t>619217442169</t>
  </si>
  <si>
    <t>619217442170</t>
  </si>
  <si>
    <t>619217822595</t>
  </si>
  <si>
    <t>619217822594</t>
  </si>
  <si>
    <t>619217822593</t>
  </si>
  <si>
    <t>619217822592</t>
  </si>
  <si>
    <t>619217822516</t>
  </si>
  <si>
    <t>619217822515</t>
  </si>
  <si>
    <t>619217822514</t>
  </si>
  <si>
    <t>619217822513</t>
  </si>
  <si>
    <t>Meede 1 „Töökohad ja teenused - ettevõtluse elavdamine ja töökohtade loomine"</t>
  </si>
  <si>
    <t>27.03.2017 – 7.04.2017</t>
  </si>
  <si>
    <t>06.02.-17.02.2017</t>
  </si>
  <si>
    <t>01.03-14.03.2017</t>
  </si>
  <si>
    <t>20-31.03.2017</t>
  </si>
  <si>
    <t>03.04-06.04.2017</t>
  </si>
  <si>
    <t>Meede 1.4 "Puhas Pandivere"</t>
  </si>
  <si>
    <t>17.04.-20.04.2017</t>
  </si>
  <si>
    <t>08.05.-11.05.2017</t>
  </si>
  <si>
    <t>8.9.</t>
  </si>
  <si>
    <t>13.-17.02.2017</t>
  </si>
  <si>
    <t>Meede 2.2 "Ettevõtlikkuse ja konkurentsivõime tõstmine"</t>
  </si>
  <si>
    <t>Meede 2.1 "Ettevõtluse investeeringud"</t>
  </si>
  <si>
    <t>619217862616</t>
  </si>
  <si>
    <t>619217862612</t>
  </si>
  <si>
    <t>619217862617</t>
  </si>
  <si>
    <t>619217862599</t>
  </si>
  <si>
    <t>619217862598</t>
  </si>
  <si>
    <t>619217862618</t>
  </si>
  <si>
    <t>619217862610</t>
  </si>
  <si>
    <t>619217862606</t>
  </si>
  <si>
    <t>619217862614</t>
  </si>
  <si>
    <t>619217862601</t>
  </si>
  <si>
    <t>619217862609</t>
  </si>
  <si>
    <t>619217862600</t>
  </si>
  <si>
    <t>619217862620</t>
  </si>
  <si>
    <t>619217862596</t>
  </si>
  <si>
    <t>619217862604</t>
  </si>
  <si>
    <t>619217862607</t>
  </si>
  <si>
    <t>619217862621</t>
  </si>
  <si>
    <t>619217862608</t>
  </si>
  <si>
    <t>20.-28.03.2017</t>
  </si>
  <si>
    <t>619217862615</t>
  </si>
  <si>
    <t>619217862613</t>
  </si>
  <si>
    <t>619217862619</t>
  </si>
  <si>
    <t>619217862602</t>
  </si>
  <si>
    <t>619217862603</t>
  </si>
  <si>
    <t>619217862611</t>
  </si>
  <si>
    <t>619217862597</t>
  </si>
  <si>
    <t>619217862605</t>
  </si>
  <si>
    <t>03.-10.04.2017</t>
  </si>
  <si>
    <t>6.-24.03.2017</t>
  </si>
  <si>
    <t>20.03.-24.03.2017</t>
  </si>
  <si>
    <t>13.03.- 17.03.2017</t>
  </si>
  <si>
    <t>16.01.-03.02.2017</t>
  </si>
  <si>
    <t>06.-15.02.2017</t>
  </si>
  <si>
    <t>21.-28.04.2017</t>
  </si>
  <si>
    <t>27-31.03.2017</t>
  </si>
  <si>
    <t>Meede 2 "Kogukonna ühistegevuste arendamine"</t>
  </si>
  <si>
    <t>619217372654</t>
  </si>
  <si>
    <t>619217372159</t>
  </si>
  <si>
    <t>619217372158</t>
  </si>
  <si>
    <t>619217372157</t>
  </si>
  <si>
    <t>10.04.2017-17.04.2017</t>
  </si>
  <si>
    <t>619217372901</t>
  </si>
  <si>
    <t>619217372900</t>
  </si>
  <si>
    <t>619217372902</t>
  </si>
  <si>
    <t>619217372899</t>
  </si>
  <si>
    <t>619217372903</t>
  </si>
  <si>
    <t>619217372905</t>
  </si>
  <si>
    <t>619217372904</t>
  </si>
  <si>
    <t>619217372907</t>
  </si>
  <si>
    <t>619217372906</t>
  </si>
  <si>
    <t>ei hinnatud</t>
  </si>
  <si>
    <t>20.03-10.04.2017</t>
  </si>
  <si>
    <t>619217782815</t>
  </si>
  <si>
    <t>619217782816</t>
  </si>
  <si>
    <t>619217782817</t>
  </si>
  <si>
    <t>619217782818</t>
  </si>
  <si>
    <t>619217782819</t>
  </si>
  <si>
    <t>619217782836</t>
  </si>
  <si>
    <t>619217782820</t>
  </si>
  <si>
    <t>619217782837</t>
  </si>
  <si>
    <t>619217782838</t>
  </si>
  <si>
    <t>619217782839</t>
  </si>
  <si>
    <t>619217782840</t>
  </si>
  <si>
    <t>619217782841</t>
  </si>
  <si>
    <t>619217782821</t>
  </si>
  <si>
    <t>619217782822</t>
  </si>
  <si>
    <t>619217782823</t>
  </si>
  <si>
    <t>619217782824</t>
  </si>
  <si>
    <t>619217782825</t>
  </si>
  <si>
    <t>619217782826</t>
  </si>
  <si>
    <t>619217782842</t>
  </si>
  <si>
    <t>619217782843</t>
  </si>
  <si>
    <t>619217782844</t>
  </si>
  <si>
    <t>619217782845</t>
  </si>
  <si>
    <t>619217782846</t>
  </si>
  <si>
    <t>619217782848</t>
  </si>
  <si>
    <t>619217782847</t>
  </si>
  <si>
    <t>619217782850</t>
  </si>
  <si>
    <t>619217782849</t>
  </si>
  <si>
    <t>619217782851</t>
  </si>
  <si>
    <t>619217782852</t>
  </si>
  <si>
    <t>619217782853</t>
  </si>
  <si>
    <t>619217782854</t>
  </si>
  <si>
    <t>619217782855</t>
  </si>
  <si>
    <t>619217782856</t>
  </si>
  <si>
    <t>619217652857</t>
  </si>
  <si>
    <t>619217782860</t>
  </si>
  <si>
    <t>619217782859</t>
  </si>
  <si>
    <t>Hindamata</t>
  </si>
  <si>
    <t>619217782827</t>
  </si>
  <si>
    <t>619217782828</t>
  </si>
  <si>
    <t>619217782830</t>
  </si>
  <si>
    <t>619217782829</t>
  </si>
  <si>
    <t>619217782831</t>
  </si>
  <si>
    <t>619217782832</t>
  </si>
  <si>
    <t>619217782833</t>
  </si>
  <si>
    <t>619217782834</t>
  </si>
  <si>
    <t>619217782861</t>
  </si>
  <si>
    <t>619217782835</t>
  </si>
  <si>
    <t>619217782858</t>
  </si>
  <si>
    <t>619217782908</t>
  </si>
  <si>
    <t>619217782909</t>
  </si>
  <si>
    <t>01.04-02.05.2017</t>
  </si>
  <si>
    <t>619217702882</t>
  </si>
  <si>
    <t>619217702883</t>
  </si>
  <si>
    <t>619217702863</t>
  </si>
  <si>
    <t>619217702872</t>
  </si>
  <si>
    <t>619217702868</t>
  </si>
  <si>
    <t>619217702870</t>
  </si>
  <si>
    <t>619217702873</t>
  </si>
  <si>
    <t>619217702874</t>
  </si>
  <si>
    <t>619217702876</t>
  </si>
  <si>
    <t>619217702875</t>
  </si>
  <si>
    <t>619217702877</t>
  </si>
  <si>
    <t>619217702878</t>
  </si>
  <si>
    <t>619217702879</t>
  </si>
  <si>
    <t>619217702880</t>
  </si>
  <si>
    <t>619217702881</t>
  </si>
  <si>
    <t>619217702885</t>
  </si>
  <si>
    <t>619217702886</t>
  </si>
  <si>
    <t>619217702887</t>
  </si>
  <si>
    <t>619217702892</t>
  </si>
  <si>
    <t>619217702888</t>
  </si>
  <si>
    <t>619217702884</t>
  </si>
  <si>
    <t>619217702889</t>
  </si>
  <si>
    <t>619217702890</t>
  </si>
  <si>
    <t>619217702894</t>
  </si>
  <si>
    <t>619217702891</t>
  </si>
  <si>
    <t>619217702893</t>
  </si>
  <si>
    <t>619217702898</t>
  </si>
  <si>
    <t>619217702897</t>
  </si>
  <si>
    <t>619217702896</t>
  </si>
  <si>
    <t>619217702895</t>
  </si>
  <si>
    <t>619217702871</t>
  </si>
  <si>
    <t>619217702867</t>
  </si>
  <si>
    <t>619217702865</t>
  </si>
  <si>
    <t>619217702866</t>
  </si>
  <si>
    <t>619217702869</t>
  </si>
  <si>
    <t>619217702864</t>
  </si>
  <si>
    <t>619217702862</t>
  </si>
  <si>
    <t>03.04-17.04.2017</t>
  </si>
  <si>
    <t>619217572914</t>
  </si>
  <si>
    <t>619217572920</t>
  </si>
  <si>
    <t>619217572911</t>
  </si>
  <si>
    <t>619217572923</t>
  </si>
  <si>
    <t>619217572919</t>
  </si>
  <si>
    <t>619217572917</t>
  </si>
  <si>
    <t>619217572921</t>
  </si>
  <si>
    <t>619217572916</t>
  </si>
  <si>
    <t>619217572929</t>
  </si>
  <si>
    <t>619217572940</t>
  </si>
  <si>
    <t>619217572938</t>
  </si>
  <si>
    <t>619217572926</t>
  </si>
  <si>
    <t>619217572937</t>
  </si>
  <si>
    <t>619217572927</t>
  </si>
  <si>
    <t>619217572912</t>
  </si>
  <si>
    <t>619217572910</t>
  </si>
  <si>
    <t>619217782918</t>
  </si>
  <si>
    <t>619217572915</t>
  </si>
  <si>
    <t>619217572913</t>
  </si>
  <si>
    <t>619217572934</t>
  </si>
  <si>
    <t>619217572931</t>
  </si>
  <si>
    <t>619217572924</t>
  </si>
  <si>
    <t>619217572935</t>
  </si>
  <si>
    <t>619217572930</t>
  </si>
  <si>
    <t>619217572941</t>
  </si>
  <si>
    <t>619217572939</t>
  </si>
  <si>
    <t>619217572942</t>
  </si>
  <si>
    <t>619217572932</t>
  </si>
  <si>
    <t>619217572936</t>
  </si>
  <si>
    <t>619217572933</t>
  </si>
  <si>
    <t>619217572925</t>
  </si>
  <si>
    <t>619217572928</t>
  </si>
  <si>
    <t>619217572943</t>
  </si>
  <si>
    <t xml:space="preserve"> </t>
  </si>
  <si>
    <t>24.-28.04.2017</t>
  </si>
  <si>
    <t>24.04.- 12.05.2017</t>
  </si>
  <si>
    <t>13.03-26.03.2017</t>
  </si>
  <si>
    <t>13.03.-26.03.2017</t>
  </si>
  <si>
    <t>Meede 3.2 " Piirkonna eripärale tuginevad investeeringud"</t>
  </si>
  <si>
    <t>Meede 3.1"Piirkonna eripära tunnusüritused"</t>
  </si>
  <si>
    <t>Meede 1 "Nutikad asjad"</t>
  </si>
  <si>
    <t>ei ületanud lävendit</t>
  </si>
  <si>
    <t>04.09.2017-15.09.2017</t>
  </si>
  <si>
    <r>
      <t xml:space="preserve"> </t>
    </r>
    <r>
      <rPr>
        <sz val="11"/>
        <color theme="1"/>
        <rFont val="Calibri"/>
        <family val="2"/>
        <scheme val="minor"/>
      </rPr>
      <t>03.10.-06.10.2017</t>
    </r>
  </si>
  <si>
    <t>16.-19.10.2017</t>
  </si>
  <si>
    <t>18.09.-26.09.2017</t>
  </si>
  <si>
    <t>18.09.-22.09.2017</t>
  </si>
  <si>
    <t>18.-25.09.2017</t>
  </si>
  <si>
    <t>28.08-03.09.2017</t>
  </si>
  <si>
    <t>01.09.-07.09.2017</t>
  </si>
  <si>
    <t>18.-26.09.2017</t>
  </si>
  <si>
    <t>28.08-18.09.2017</t>
  </si>
  <si>
    <t>02.10.-09.10.2017</t>
  </si>
  <si>
    <t>06.-09.11.2017</t>
  </si>
  <si>
    <t>Eelarves</t>
  </si>
  <si>
    <t>Eelarve all</t>
  </si>
  <si>
    <t>20.11-23.11.2017</t>
  </si>
  <si>
    <t>02.-15.10.2017</t>
  </si>
  <si>
    <t>07.-13.10.2017</t>
  </si>
  <si>
    <t>21.10-29.10.2017</t>
  </si>
  <si>
    <t>02.10-16.10.2017</t>
  </si>
  <si>
    <t>16.-24.10.2017</t>
  </si>
  <si>
    <t>Meede 2.2 "Väiketootmisettevõtte arendamine"</t>
  </si>
  <si>
    <t>29.09.-13.10.2017</t>
  </si>
  <si>
    <t>meede 1 "Elukeskkonna arendamine"</t>
  </si>
  <si>
    <t>29.09.-13.10.2018</t>
  </si>
  <si>
    <t>29.09.2017-30.10.2017</t>
  </si>
  <si>
    <t>Meede 1.2.1 "Ettevõtluse investeeringud" Põltsamaa piirkonnas</t>
  </si>
  <si>
    <t>20.11.-01.12.2017</t>
  </si>
  <si>
    <t>Meede 1.2.2"Ettevõtluse investeeringud"Vooremaa piirkonnas</t>
  </si>
  <si>
    <t>Meede 1.2.3 "Ettevõtluse investeeringud" Peipsi piirkonnas</t>
  </si>
  <si>
    <t>Meede 2.1 "Kogukondade ühisprojektid" Põltsamnaa piirkond</t>
  </si>
  <si>
    <t>Meede 2.1.2 "Kogukondade ühisprojektid" Vooremaa piirkonnas</t>
  </si>
  <si>
    <t>Meede 2.1.3 "Kogukondade ühisprojektid" Peipsi piirkonnas</t>
  </si>
  <si>
    <t>Meede 2.2 "Kogukondade investeeringud" Vooremaa piirkond</t>
  </si>
  <si>
    <t>Meede 2.2.3"Kogukondade investeeringud" Peipsi piirkond</t>
  </si>
  <si>
    <t>13.11.-16.11.2017</t>
  </si>
  <si>
    <t>Meede 2.2.1 "Kogukondade investeeringud" Põltsamaa piirkonnas</t>
  </si>
  <si>
    <t>30.01.-07.02.2018</t>
  </si>
  <si>
    <t>lävendi all</t>
  </si>
  <si>
    <t>09.02.-16.02.2018</t>
  </si>
  <si>
    <t>15.01.-22.01.2018</t>
  </si>
  <si>
    <t>05.02.-16.02.2018</t>
  </si>
  <si>
    <t>29.01.2018-16.02.2018</t>
  </si>
  <si>
    <t>Meede 2.1 "Aktiivne kogukond ja noored  -  uute tegevusvõimaluste loomiseks"</t>
  </si>
  <si>
    <t>01.02-07.02.2018</t>
  </si>
  <si>
    <t>12-18.02.2018</t>
  </si>
  <si>
    <t>12.02.2018-02.03.2018</t>
  </si>
  <si>
    <t>17.03-25.03.2018</t>
  </si>
  <si>
    <t>20.03.-30.03.2018</t>
  </si>
  <si>
    <t>Meede 2.1.1 "Kogukondade ühisprojektid Põltsamaa piirkonnas</t>
  </si>
  <si>
    <t>03.04.-06.04.2018</t>
  </si>
  <si>
    <t>12.03.-22.03.2018</t>
  </si>
  <si>
    <t>1.2.</t>
  </si>
  <si>
    <t>01.03.-14.03.2018</t>
  </si>
  <si>
    <t>5.03.-09.03.2018</t>
  </si>
  <si>
    <t>5.03.-09.03.2019</t>
  </si>
  <si>
    <t>05.03.-18.03.2018</t>
  </si>
  <si>
    <t>19.03.-31.03.2018</t>
  </si>
  <si>
    <t>02.04.-09.04.2018</t>
  </si>
  <si>
    <t>09.04.-16.04.2018</t>
  </si>
  <si>
    <t>23-27.04.2018</t>
  </si>
  <si>
    <t>Meede 1.2 Kohaliku kultuuri arendamine</t>
  </si>
  <si>
    <t>23-27.04.2019</t>
  </si>
  <si>
    <t>23-27.04.2020</t>
  </si>
  <si>
    <t>23-27.04.2021</t>
  </si>
  <si>
    <t>23-27.04.2022</t>
  </si>
  <si>
    <t>23-27.04.2023</t>
  </si>
  <si>
    <t>23-27.04.2024</t>
  </si>
  <si>
    <t>23-27.04.2025</t>
  </si>
  <si>
    <t>20.04.-27.04.2018</t>
  </si>
  <si>
    <t>09.04.2018 - 23.04.2018</t>
  </si>
  <si>
    <t>19.03.2018 - 31.03.2018</t>
  </si>
  <si>
    <t>04.04.2018 - 10.04.2018</t>
  </si>
  <si>
    <t>Meede 1 "Ettevõtluse arendamine, seal hulgas kohalikul eripäral ja kultuuripärandil põhineva ettevõtluse arendamine"</t>
  </si>
  <si>
    <t xml:space="preserve">  02.05.-11.05.2018</t>
  </si>
  <si>
    <t>26.03-10.04.2018</t>
  </si>
  <si>
    <t xml:space="preserve">Meede 3.1  TASi piirkonda jäävate võrgustike loomine ja arendamine </t>
  </si>
  <si>
    <t>02.05-09.05.2018</t>
  </si>
  <si>
    <t>Meede 1.2 "Kogukonna arendamine läbi ühiskoostöö"</t>
  </si>
  <si>
    <t>Ei hinnatud</t>
  </si>
  <si>
    <t>Lävendi all</t>
  </si>
  <si>
    <t>26.02.2018-02.04.2018</t>
  </si>
  <si>
    <t>Ei ületanud lävendit</t>
  </si>
  <si>
    <t>01.03.-02.04.2018</t>
  </si>
  <si>
    <t>01.04.-02.05.2018</t>
  </si>
  <si>
    <t>Meede 2 "Piirkonna eripära ja kultuuripärandi arendamine ning piirkonna arenguks vajalike teenuste kättesaadavuse suurendamine"</t>
  </si>
  <si>
    <t>25.04.-3.05.2018</t>
  </si>
  <si>
    <t>27.08.-02.09.2018</t>
  </si>
  <si>
    <t>27.08.2018-14.09.2018</t>
  </si>
  <si>
    <t>Meede 1.1 „Investeeringud häid töökohti säilitavasse ja/või loovasse mikroettevõtlusse“</t>
  </si>
  <si>
    <t>14.09.-21.09.2018</t>
  </si>
  <si>
    <t>10.09-17.09.2018</t>
  </si>
  <si>
    <t>17.09.2018-28.09.2018</t>
  </si>
  <si>
    <t>Meede 2.1:  "Ettevõtluse turundustoetus"</t>
  </si>
  <si>
    <t>01.09.-07.09.2018</t>
  </si>
  <si>
    <t>08.10.-19.10.2018</t>
  </si>
  <si>
    <t>27.08.- 10.09.2018</t>
  </si>
  <si>
    <t>18.09.-27.09.2018</t>
  </si>
  <si>
    <t>17.09.-30.09.2018</t>
  </si>
  <si>
    <t>01.10.-05.10.2018</t>
  </si>
  <si>
    <t>01.10.-08.10.2018</t>
  </si>
  <si>
    <t>Meede 3 Loode- Eesti</t>
  </si>
  <si>
    <t>13.10.-19.10.2018</t>
  </si>
  <si>
    <t>08.10.-15.10.2018</t>
  </si>
  <si>
    <t>Meede 2  "Külakeskkonna ja -kogukonna arendamine"</t>
  </si>
  <si>
    <t>12.10.-19.10.2018</t>
  </si>
  <si>
    <t>16.-23.11.2018</t>
  </si>
  <si>
    <t>12.11.-19.11.2018</t>
  </si>
  <si>
    <t>1.12.2018 -17.12.2019</t>
  </si>
  <si>
    <t>06.02.-13.02.2019</t>
  </si>
  <si>
    <t>20.02.-27.02.2019</t>
  </si>
  <si>
    <t>30.01.-07.02.2019</t>
  </si>
  <si>
    <t>04.02.-15.02.2019</t>
  </si>
  <si>
    <t>Meede 2.1 "Aktiivne kogukond ja noored ":  uute tegevusvõimaluste loomine</t>
  </si>
  <si>
    <t>28.01.-14.02.2019</t>
  </si>
  <si>
    <t>08.02.-15.02.2019</t>
  </si>
  <si>
    <t>28.01.-01.02.2019</t>
  </si>
  <si>
    <t>11.02.-01.03.2019</t>
  </si>
  <si>
    <t>12.03.- 21.03.2019</t>
  </si>
  <si>
    <t>Meede 1.1 "Ettevõtluse ühisprojektid ja koolitused"</t>
  </si>
  <si>
    <t>07.01.-14.01.2019</t>
  </si>
  <si>
    <t>Meede 3 "Maakondlikud projektid ja koolitused"</t>
  </si>
  <si>
    <t>Meede 2.2.2 "Kogukondade investeeringud" Vooremaa piirkond</t>
  </si>
  <si>
    <t>04.03.2019-15.03.2019</t>
  </si>
  <si>
    <t>11.03.-15.03.2019</t>
  </si>
  <si>
    <t>Meede 2.1 Ettevõtluse investeeringud</t>
  </si>
  <si>
    <t>01.03-15.03.2019</t>
  </si>
  <si>
    <t>18.03-01.04.2019</t>
  </si>
  <si>
    <t>1.04.-08.04.2019</t>
  </si>
  <si>
    <t>18.03.2019-01.04.2019</t>
  </si>
  <si>
    <t>Jah</t>
  </si>
  <si>
    <t>18.04.-26.04.2019</t>
  </si>
  <si>
    <t>25.03.-04.04.2019</t>
  </si>
  <si>
    <t>10.04-17.04.2019</t>
  </si>
  <si>
    <t>06.05.2019-10.05.2019</t>
  </si>
  <si>
    <t>28.02.2019-02.04.2019</t>
  </si>
  <si>
    <t>03.04.-09.04.2019</t>
  </si>
  <si>
    <t>08.05.-15.05.2019</t>
  </si>
  <si>
    <t>01.04.-02.05.2019</t>
  </si>
  <si>
    <t>07.03.2019-13.03.2019</t>
  </si>
  <si>
    <t>27.03.-10.04.2019</t>
  </si>
  <si>
    <t>Meede 1 "Elukeskkonna parendamine ja maaelu põhiteenuste kvaliteedi tõstmine"</t>
  </si>
  <si>
    <t>01.03.-01.04.2019</t>
  </si>
  <si>
    <t>06.09.-13.09.2019</t>
  </si>
  <si>
    <t>26.08.-13.09.2019</t>
  </si>
  <si>
    <t>04.09-11.09.2019</t>
  </si>
  <si>
    <t>26.08.-01.09.2019</t>
  </si>
  <si>
    <t>09.10-16.10.2019</t>
  </si>
  <si>
    <t>eelarves</t>
  </si>
  <si>
    <t>eelarve all</t>
  </si>
  <si>
    <t>30.09-07.10.2019</t>
  </si>
  <si>
    <t>18.09.2019 - 27.09.2019</t>
  </si>
  <si>
    <t>23.09.-04.10.2019</t>
  </si>
  <si>
    <t>09.09.2019-23.09.2019</t>
  </si>
  <si>
    <t>Ei</t>
  </si>
  <si>
    <t>23.09.2019 - 09.10.2019</t>
  </si>
  <si>
    <t>22.10.-28.10.2019</t>
  </si>
  <si>
    <t>Meede 2.1  "Kogukondade ühisprojektid"</t>
  </si>
  <si>
    <t>11.11.2019-15.11.2019</t>
  </si>
  <si>
    <t>14.10.2019-31.10.2019</t>
  </si>
  <si>
    <t>14.10.-21.10.2019</t>
  </si>
  <si>
    <t>16.09.-23.09.2019</t>
  </si>
  <si>
    <t>Meede 3.1 Suurprojektide arendamine</t>
  </si>
  <si>
    <t>15.10.-30.10.2019</t>
  </si>
  <si>
    <t>Meede 3.2 TASi piirkonda jäävate võrgustike loomine ja arendamine</t>
  </si>
  <si>
    <t>Meede 3.3 Regionaalse ja rahvusvahelise koostöö edendamine</t>
  </si>
  <si>
    <t>13.01.-17.01.2020</t>
  </si>
  <si>
    <t>04.02.- 10.02.2020</t>
  </si>
  <si>
    <t>27.01.2020 - 14.02.2020</t>
  </si>
  <si>
    <t>Meede 2.1  „Aktiivne kogukond ja noored“: uute tegevusvõimaluste loomine</t>
  </si>
  <si>
    <t>15.01.2020 - 30.01.2020</t>
  </si>
  <si>
    <t>01.02.2020 - 07.02.2020</t>
  </si>
  <si>
    <t>03.02.2020 - 07.02.2020</t>
  </si>
  <si>
    <t>03.02.2020 - 13.02.2020</t>
  </si>
  <si>
    <t xml:space="preserve">Meede 2.2.3 Kogukondade investeeringud Peipsi piirkonnas </t>
  </si>
  <si>
    <t xml:space="preserve">17.01.2020 - 24.01.2020 </t>
  </si>
  <si>
    <t>04.02.2020 - 10.02.2020</t>
  </si>
  <si>
    <t>01.03-16.03.2020</t>
  </si>
  <si>
    <t>18.03-25.03.2020</t>
  </si>
  <si>
    <t>18.03-25.03.2040</t>
  </si>
  <si>
    <t>16.03.2020 - 27.03.2020</t>
  </si>
  <si>
    <t>25.02.2020-03.03.2020</t>
  </si>
  <si>
    <t>30.03-06.04.2020</t>
  </si>
  <si>
    <t>08.04.-15.04.2020</t>
  </si>
  <si>
    <t>27.03.2020-03.04.2020</t>
  </si>
  <si>
    <t>29.02.2020-02.04.2020</t>
  </si>
  <si>
    <t>23.03.2020-03.04.2020</t>
  </si>
  <si>
    <t>23.03.2020-03.04.2021</t>
  </si>
  <si>
    <t>02.09.2020 - 09.09.2020</t>
  </si>
  <si>
    <t>17.08.2020-26.08.2020</t>
  </si>
  <si>
    <t>24.08. - 31.08.2020</t>
  </si>
  <si>
    <t>01.09.2020-07.09.2020</t>
  </si>
  <si>
    <t>09.10.-16.10.2020</t>
  </si>
  <si>
    <t>Meede 2.1 - Tänapäevane ettevõtluskeskkond</t>
  </si>
  <si>
    <t>02.10.-09.10.2020</t>
  </si>
  <si>
    <t>28.09.2020 - 09.10.2020</t>
  </si>
  <si>
    <t>09.11.2020 - 13.11.2020</t>
  </si>
  <si>
    <t>16.09.2020- 24.09.2020</t>
  </si>
  <si>
    <t>26.10.2020 - 06.11.2020</t>
  </si>
  <si>
    <t>19.10.2020 - 30.10.2020</t>
  </si>
  <si>
    <t xml:space="preserve">Meede 1 - Ettevõtluse arendamine ja kompententsi tõstmine  </t>
  </si>
  <si>
    <t>15.10.-15.11.2020</t>
  </si>
  <si>
    <t>19.11.2020-25.11.2020</t>
  </si>
  <si>
    <t>12.02.2021 - 19.02.2021</t>
  </si>
  <si>
    <t>1 - Kohalikul ressursil baseeruva ettevõtluse arendamine</t>
  </si>
  <si>
    <t>1- Kohalikul ressursil baseeruva ettevõtluse arendamine</t>
  </si>
  <si>
    <t>01.02.2021 - 19.02.2021</t>
  </si>
  <si>
    <t>18.01.2021 - 02.02.2021</t>
  </si>
  <si>
    <t>01.03.2021 - 05.03.2021</t>
  </si>
  <si>
    <t>08.02-15.02.2021</t>
  </si>
  <si>
    <t>08.03.2021 - 12.03.2021</t>
  </si>
  <si>
    <t>05.04.2021 - 03.05.2021</t>
  </si>
  <si>
    <t xml:space="preserve"> 01.03.2021 - 02.04.2021</t>
  </si>
  <si>
    <t>12.04.2021-22.04.2021</t>
  </si>
  <si>
    <t>01.09.2021 - 07.09.2021</t>
  </si>
  <si>
    <t>06.09.2021 - 24.09.2021</t>
  </si>
  <si>
    <t>Meede 1.1 - Investeeringud häid töökohti säilitavasse ja/või loovasse mikroettevõtlusse</t>
  </si>
  <si>
    <t>Meede 1.3.1 - Investeeringud kohalikule elanikule ning piirkonna külastajale suunatud teenuste kohandamiseks ning arendamiseks COVID-19</t>
  </si>
  <si>
    <t>Meede 1.3.1 - Investeeringud kohalikule elanikule ning piirkonna külastajale suunatud teenuste kohandamiseks ning arendamiseks COVID-20</t>
  </si>
  <si>
    <t>Meede 1.3.1 - Investeeringud kohalikule elanikule ning piirkonna külastajale suunatud teenuste kohandamiseks ning arendamiseks COVID-21</t>
  </si>
  <si>
    <t>Meede 1.3.1 - Investeeringud kohalikule elanikule ning piirkonna külastajale suunatud teenuste kohandamiseks ning arendamiseks COVID-22</t>
  </si>
  <si>
    <t>Meede 1.3.1 - Investeeringud kohalikule elanikule ning piirkonna külastajale suunatud teenuste kohandamiseks ning arendamiseks COVID-23</t>
  </si>
  <si>
    <t>Meede 1.3.1 - Investeeringud kohalikule elanikule ning piirkonna külastajale suunatud teenuste kohandamiseks ning arendamiseks COVID-24</t>
  </si>
  <si>
    <t>Meede 3.1 - Algatused ettevõtjate ja kogukondade võrgustike arendamiseks ja loomiseks</t>
  </si>
  <si>
    <t>11.09.2021 - 22.09.2021</t>
  </si>
  <si>
    <t>Meede 1.2.1 - Ettevõtluse investeeringud Põltsamaa piirkonnas</t>
  </si>
  <si>
    <t>Meede 1.2.2 - Ettevõtluse investeeringud Vooremaa piirkonnas</t>
  </si>
  <si>
    <t>Meede 1.2.3 - Ettevõtluse investeeringud Peipsi piirkonnas</t>
  </si>
  <si>
    <t>Meede 2.2.1 - Kogukondade investeeringud Põltsamaa piirkonnas</t>
  </si>
  <si>
    <t>Meede 2.2.2 - Kogukondade investeeringud Vooremaa piirkonnas</t>
  </si>
  <si>
    <t>Meede 2.2.3 - Kogukondade investeeringud Peipsi piirkonnas</t>
  </si>
  <si>
    <t>06.10.2021 - 13.10.2021</t>
  </si>
  <si>
    <t>Meede 2.1.1 - Kogukondade ühisprojektid Põltsamaa piirkonnas</t>
  </si>
  <si>
    <t>02.10.2021 - 13.10.2021</t>
  </si>
  <si>
    <t>Meede 2.1.2 - Kogukondade ühisprojektid Vooremaa piirkonnas</t>
  </si>
  <si>
    <t>Meede 2.1.3 - Kogukondade ühisprojektid Peipsi piirkonnas</t>
  </si>
  <si>
    <t>Meede 5.1.3 - Ettevõtluse investeeringud Peipsi piirkonnas</t>
  </si>
  <si>
    <t>Meede 6.1.1 - Kogukondade ühisprojektid Põltsamaa piirkonnas</t>
  </si>
  <si>
    <t>Meede 6.1.2 - Kogukondade ühisprojektid Vooremaa piirkonnas</t>
  </si>
  <si>
    <t>Meede 6.1.3 - Kogukondade ühisprojektid Peipsi piirkonnas</t>
  </si>
  <si>
    <t>Meede 6.2.1 - Kogukondade investeeringud Põltsamaa piirkonnas</t>
  </si>
  <si>
    <t>Meede 6.2.2 - Kogukondade investeeringud Vooremaa piirkonnas</t>
  </si>
  <si>
    <t>Meede 6.2.3 - Kogukondade investeeringud Peipsi piirkonnas</t>
  </si>
  <si>
    <t>Meede 3 - Maakondlike ja tegevuspiirkonna ühisprojektide ja koolituste meede</t>
  </si>
  <si>
    <t>18.10.2021 - 25.10.2021</t>
  </si>
  <si>
    <t>COVID-19 põhjustatud kriisi mõjude leevendamine</t>
  </si>
  <si>
    <t>Meede 4 Jätkusuutlik kogukond ja külakeskused</t>
  </si>
  <si>
    <t>07.10-20.10.2021</t>
  </si>
  <si>
    <t>01.11.2021 - 07.11.2021</t>
  </si>
  <si>
    <t>Meede 1 - Mikroettevõtluse, turismiteenuste ja -toodete arendamine</t>
  </si>
  <si>
    <t>Meede 2 "Covid meede"</t>
  </si>
  <si>
    <t>COVID-19 taasterahastu meede „Elujõulised ettevõtted“</t>
  </si>
  <si>
    <t>20.10.-27.10.2021</t>
  </si>
  <si>
    <t>20.10.-29.10.2021</t>
  </si>
  <si>
    <t>15.11.2021-19.11.2021</t>
  </si>
  <si>
    <t>1.3 - COVID19-st tingitud majandusraskuste leevendamine</t>
  </si>
  <si>
    <t>11.10.2021 - 24.10.2021</t>
  </si>
  <si>
    <t>Meede 6 - COVID-19 taastekava meede</t>
  </si>
  <si>
    <t>15.11.2021 - 21.11.2021</t>
  </si>
  <si>
    <t>Meede 1.2 - Pandivere Covid-19 tagajärgede taastekava</t>
  </si>
  <si>
    <t>2.2 - Kultuuriküllane Pandivere</t>
  </si>
  <si>
    <t>11.10.2021 - 22.10.2021</t>
  </si>
  <si>
    <t>C - COVID-19 kriisiga toimetuleku toetamine ja selle mõjude vähendamine</t>
  </si>
  <si>
    <t>1 - Ettevõtluse arendamine ja kompetentsi tõstmine</t>
  </si>
  <si>
    <t>3 - Koostöö ja ühistegevuste arendamine</t>
  </si>
  <si>
    <t>Hindamata jäetud</t>
  </si>
  <si>
    <t>04.10.- 14.10.2021</t>
  </si>
  <si>
    <t>C - COVID-19 olukorra leevendamiseks suunatud meede</t>
  </si>
  <si>
    <t>08.11.2021 - 12.11.2021</t>
  </si>
  <si>
    <t>2.3 - COVID-19 mõju leevendamine</t>
  </si>
  <si>
    <t>01.11.2021 - 10.11.2021</t>
  </si>
  <si>
    <t>5 - COVID-19 mõjude vähendamine</t>
  </si>
  <si>
    <t>15.11.2021 - 19.11.2021</t>
  </si>
  <si>
    <t>1A - Taasterahastu vahendite toel ettevõtluse arendamine ja mitmekesistamine</t>
  </si>
  <si>
    <t>COVIDi mõju leevendamise meede</t>
  </si>
  <si>
    <t xml:space="preserve"> 15.11.2021 - 22.11.2021</t>
  </si>
  <si>
    <t>01.11.2021 - 01.12.2021</t>
  </si>
  <si>
    <t>Ettevõtluse toetamine Covid-19st tulenevate riskide maandamiseks ja tagajärgedega toimetulekuks</t>
  </si>
  <si>
    <t>13.11.2021 - 26.11.2021</t>
  </si>
  <si>
    <t>5 - COVID-19 toetusmeede</t>
  </si>
  <si>
    <t>2 - Peipsiääre väljaarendamine kvaliteetseks turismisihtkohaks</t>
  </si>
  <si>
    <t>3 - Kogukonna arendamine ja aktiviseerimine</t>
  </si>
  <si>
    <t>22.11.2021 - 05.12.2021</t>
  </si>
  <si>
    <t xml:space="preserve"> Meede 1 - Ettevõtete areng</t>
  </si>
  <si>
    <t>06.12.2021 - 10.12.2021</t>
  </si>
  <si>
    <t>1 - Ettevõtluse arendamine ja mitmekesistamine</t>
  </si>
  <si>
    <t>2 - Aktiivne kogukond</t>
  </si>
  <si>
    <t>Meede  3 - Uuenduslik kogukond</t>
  </si>
  <si>
    <t>15.11.2021 - 15.12.2021</t>
  </si>
  <si>
    <t>COVID-19 taastemeede</t>
  </si>
  <si>
    <t>Meede 1 - Elukeskkonna parendamine ja maaelu põhiteenuste kvaliteedi tõstmine</t>
  </si>
  <si>
    <t>03.01.2022 - 17.01.2022</t>
  </si>
  <si>
    <t>Meede 4 - COVID-19 kriisist tingitud majandusraskuste leevendamine</t>
  </si>
  <si>
    <t>Meede 2 - Külakeskkonna ja -kogukonna arendamine</t>
  </si>
  <si>
    <t xml:space="preserve"> 24.01.2022 - 31.01.2022</t>
  </si>
  <si>
    <t>Covid 19 mõjude taasterahastu meede mittetulundussektorile</t>
  </si>
  <si>
    <t>Covid 19 mõjude taasterahastu meede ettevõtlusele</t>
  </si>
  <si>
    <t>03.01.2022 - 12.01.2022</t>
  </si>
  <si>
    <t>Meede 2.4 - Ettevõtluse jätkusuutlikkus (COVID-19)</t>
  </si>
  <si>
    <t>10.01.2022 - 31.01.2022</t>
  </si>
  <si>
    <t>C - Ettevõtluse arendamine COVID-19 põhjustatud kriisist väljumiseks</t>
  </si>
  <si>
    <t>24.01.2022 - 31.01.2022</t>
  </si>
  <si>
    <t>Meede  Covid-19 kriisi mõju leevendamine</t>
  </si>
  <si>
    <t>Meede 2.2 - Väikeettevõtete arendamine</t>
  </si>
  <si>
    <t>Meede 1 - Kogukonna investeeringute toetamine</t>
  </si>
  <si>
    <t>Meede 3 - Mikroettevõtluse arendamine</t>
  </si>
  <si>
    <t>Meede 4 - Turismiteenuste arendamine ja infovahetuse edendamine</t>
  </si>
  <si>
    <t>COVID-19 olukorra leevendamiseks suunatud meede</t>
  </si>
  <si>
    <t>Meede 2.1 - „Aktiivne kogukond ja noored“: uute tegevusvõimaluste loomine</t>
  </si>
  <si>
    <t>24.01.2022 - 11.02.2022</t>
  </si>
  <si>
    <t>14.02.2022 - 18.02.2022</t>
  </si>
  <si>
    <t>31.01.2022 - 07.02.2022</t>
  </si>
  <si>
    <t>14.02.2022 - 20.02.2022</t>
  </si>
  <si>
    <t>1.2 - Kasvav Pandivere</t>
  </si>
  <si>
    <t>2.3 - Pandivere arukad külad</t>
  </si>
  <si>
    <t>10.01.2022 - 20.01.2022</t>
  </si>
  <si>
    <t>C - Taastekava meede ehk COVID meede</t>
  </si>
  <si>
    <t>Meede 1 Nutikad asjad, ettevõtluse mitmekesistamine, konkurentsivõime tõstmine tootmises ja teeninduses</t>
  </si>
  <si>
    <t>01.03.2022 - 07.03.2022</t>
  </si>
  <si>
    <t>C - COVID-19 põhjustatud kriisi mõjuga toime tulemine tegevuspiirkonnas</t>
  </si>
  <si>
    <t>09.02.2022 - 15.02.2022</t>
  </si>
  <si>
    <t>Meede 2 - Piirkonna eripära ja kultuuripärandi arendamine ning piirkonna arenguks vajalike teenuste kättesaadavuse suurendamine</t>
  </si>
  <si>
    <t>18.02.-25.02.2022</t>
  </si>
  <si>
    <t>Meede 1.2 - Atraktiivne elukeskkond ja kogukonnateenused</t>
  </si>
  <si>
    <t>21.02.2022 - 28.02.2022</t>
  </si>
  <si>
    <t>21.02.2022 - 11.03.2022</t>
  </si>
  <si>
    <t>1.3.2 - Investeeringud ettevõtete tegevuse kohandamiseks ja arendamiseks COVID-19 põhjustatud olukorras</t>
  </si>
  <si>
    <t>07.02.2022 - 16.02.2022</t>
  </si>
  <si>
    <t>Meede 1.1.1 - Piirkonna arengutoetus</t>
  </si>
  <si>
    <t>Meede 1.2 - Kogukonna ühisprojektide toetus</t>
  </si>
  <si>
    <t>07.03.2022 - 11.03.2022</t>
  </si>
  <si>
    <t>1A - Covid-19 Taasterahastu vahendite toel ettevõtluse arendamine ja mitmekesistamine</t>
  </si>
  <si>
    <t>23.02.2022 - 02.03.2022</t>
  </si>
  <si>
    <t>Meede 1 - Ettevõtluse arendamine, seal hulgas kohalikul eripäral ja kultuuripärandil põhineva ettevõtluse arendamine</t>
  </si>
  <si>
    <t>1.2 - Investeeringud kogukonnale vajalikesse elukondlikesse teenustesse, sh kogukonnateenustesse</t>
  </si>
  <si>
    <t>19.03.2022 - 25.03.2022</t>
  </si>
  <si>
    <t>1 - Konkurentsivõimeline ettevõtlus</t>
  </si>
  <si>
    <t>14.02.2022 - 21.02.2022</t>
  </si>
  <si>
    <t>2 - Atraktiivne elukeskkond ja toimiv kodanikuühiskond</t>
  </si>
  <si>
    <t>01.11.2021 - 10.11.2022</t>
  </si>
  <si>
    <t xml:space="preserve">  Meede 1 - Kohaliku ettevõtluse arendamine</t>
  </si>
  <si>
    <t xml:space="preserve">  Meede 2 - Kogukondade aktiviseerimine ja sidusus</t>
  </si>
  <si>
    <t xml:space="preserve">  Meede 3 - Elukeskkonna väärtustamine</t>
  </si>
  <si>
    <t>Meede 1.2 - Mikro- ja väikeettevõtete arendamine</t>
  </si>
  <si>
    <t>28.02.2022 - 04.03.2022</t>
  </si>
  <si>
    <t xml:space="preserve"> 28.02.2022 - 04.03.2022</t>
  </si>
  <si>
    <t>Meede 1.3 - COVID19-st tingitud majandusraskuste leevendamine</t>
  </si>
  <si>
    <t>Meede 2.1 - Kogukonna investeeringute toetus</t>
  </si>
  <si>
    <t>Meede 2.2 - Aktiivne ja tegus kogukond</t>
  </si>
  <si>
    <t>Meede 3.2 - Kultuuripärandi hoidmine</t>
  </si>
  <si>
    <t>01.03.2022 - 14.03.2022</t>
  </si>
  <si>
    <t>2 - Ettevõtluse konkurentsivõime tugevdamine</t>
  </si>
  <si>
    <t>2.1 - Ettevõtluse investeeringud</t>
  </si>
  <si>
    <t>21.03.2022 - 25.03.2022</t>
  </si>
  <si>
    <t xml:space="preserve"> 2.2 - Ettevõtlikkuse ja konkurentsivõime tõstmine</t>
  </si>
  <si>
    <t>17.01.2022 - 17.02.2022</t>
  </si>
  <si>
    <t>C - COVID-19 toetusmeede</t>
  </si>
  <si>
    <t>2.1 - Kohalike traditsioonide hoidmine ja arendamine</t>
  </si>
  <si>
    <t>2.2 - Noorte aktiviseerimine</t>
  </si>
  <si>
    <t>3.2 - TASi piirkonda jäävate võrgustike loomine ja arendamine</t>
  </si>
  <si>
    <t>3.3 - Regionaalse ja rahvusvahelise koostöö edendamine</t>
  </si>
  <si>
    <t>Meede 3 - Ühistegevuse arendamine</t>
  </si>
  <si>
    <t>21.03.2022 - 04.04.2022</t>
  </si>
  <si>
    <t>01.04.2022 - 07.04.2022</t>
  </si>
  <si>
    <t>21.03.2022 - 28.03.2022</t>
  </si>
  <si>
    <t>Meede 1.1 - Kogukondlik areng</t>
  </si>
  <si>
    <t>Meede 3.1 - Koostöö ja ühistegevuse arendamine</t>
  </si>
  <si>
    <t>Meede  2 - Aktiivne kogukond</t>
  </si>
  <si>
    <t>14.03.2022 - 24.03.2022</t>
  </si>
  <si>
    <t>1 - Elukeskkonna arendamine</t>
  </si>
  <si>
    <t>2 - Ettevõtluse arendamine paremusjärjestuse kinnitamine</t>
  </si>
  <si>
    <t>3.1 - Ühistegevuse arendamine</t>
  </si>
  <si>
    <t>18.04.2022 - 02.05.2022</t>
  </si>
  <si>
    <t>4 - COVID-19 kriisist tingitud majandusraskuste leevendamine</t>
  </si>
  <si>
    <t>1 - Mikroettevõtluse, turismiteenuste ja -toodete arendamine</t>
  </si>
  <si>
    <t>01.04.2022 - 08.04.2022</t>
  </si>
  <si>
    <t>2 - COVID-meede</t>
  </si>
  <si>
    <t>3 - Nutikate energialahenduste kasutusele võtmine</t>
  </si>
  <si>
    <t>23.03.2022 - 04.04.2022</t>
  </si>
  <si>
    <t>1.2.1 - Ettevõtluse investeeringud Põltsamaa piirkonnas</t>
  </si>
  <si>
    <t>1.2.2 - Ettevõtluse investeeringud Vooremaa piirkonnas</t>
  </si>
  <si>
    <t>1.2.3 - Ettevõtluse investeeringud Peipsi piirkonnas</t>
  </si>
  <si>
    <t>2.2.1 - Kogukondade investeeringud Põltsamaa piirkonnas</t>
  </si>
  <si>
    <t>2.2.2 - Kogukondade investeeringud Vooremaa piirkonnas</t>
  </si>
  <si>
    <t>2.2.3 - Kogukondade investeeringud Peipsi piirkonnas</t>
  </si>
  <si>
    <t>08.03.2022-15.03.2022</t>
  </si>
  <si>
    <t>Meede 1.2 - Tooted ja teenused</t>
  </si>
  <si>
    <t xml:space="preserve"> Meede 2.1 - Kogukond</t>
  </si>
  <si>
    <t xml:space="preserve"> Meede 2.2 - Elukeskkond</t>
  </si>
  <si>
    <t>15.03.2022 - 28.03.2022</t>
  </si>
  <si>
    <t>3 - Kogukonna edendamine</t>
  </si>
  <si>
    <t>22.04.2022 - 29.04.2022</t>
  </si>
  <si>
    <t>2.1 - Tänapäevane ettevõtluskeskkond</t>
  </si>
  <si>
    <t>C - COVID-19 taasterahastu meede „Elujõulised ettevõtted“</t>
  </si>
  <si>
    <t>01.05.2022 - 07.05.2022</t>
  </si>
  <si>
    <t>Meeede 1 - Elukeskkonna arendamine</t>
  </si>
  <si>
    <t>18.04.2022 - 24.04.2022</t>
  </si>
  <si>
    <t xml:space="preserve"> 2.1 - Kodupaik Pandivere</t>
  </si>
  <si>
    <t>Meede 1 - Ettevõtluse arendamine</t>
  </si>
  <si>
    <t>07.02.2022 - 07.03.2022</t>
  </si>
  <si>
    <t>Meede 3 - Konkurentsivõimeline ja omanäoline piirkond</t>
  </si>
  <si>
    <t>11.04.2022 - 18.04.2022</t>
  </si>
  <si>
    <t>3 - Romantilise Rannatee ühistegevus ja turundus</t>
  </si>
  <si>
    <t>02.05.2022 - 09.05.2022</t>
  </si>
  <si>
    <t>05.05.2022 - 10.05.2022</t>
  </si>
  <si>
    <t>Meede 1 - Konkurentsivõimeline ettevõtlus</t>
  </si>
  <si>
    <t xml:space="preserve"> 20.05.2022 - 27.05.2022</t>
  </si>
  <si>
    <t>1.2 - Pandivere Covid-19 tagajärgede taastekava</t>
  </si>
  <si>
    <t>01.06.2022 - 07.06.2022</t>
  </si>
  <si>
    <t>: C - COVID-19 põhjustatud kriisi mõjuga toime tulemine tegevuspiirkonnas</t>
  </si>
  <si>
    <t>03.06.2022 - 13.06.2022</t>
  </si>
  <si>
    <t>3 - Maakondlike ja tegevuspiirkonna ühisprojektide ja koolituste meede</t>
  </si>
  <si>
    <t>03.06.2022 - 13.06.2023</t>
  </si>
  <si>
    <t>03.06.2022 - 13.06.2024</t>
  </si>
  <si>
    <t>03.06.2022 - 13.06.2025</t>
  </si>
  <si>
    <t>03.06.2022 - 13.06.2026</t>
  </si>
  <si>
    <t>03.06.2022 - 13.06.2027</t>
  </si>
  <si>
    <t>03.06.2022 - 13.06.2028</t>
  </si>
  <si>
    <t>2.1.2 - Kogukondade ühisprojektid Vooremaa piirkonnas</t>
  </si>
  <si>
    <t>2.1.1 - Kogukondade ühisprojektid Põltsamaa piirkonnas</t>
  </si>
  <si>
    <t>5.1 - Ettevõtluse investeeringud Covid-19 mõjude leevendamiseks</t>
  </si>
  <si>
    <t>03.06.2022 - 13.06.2029</t>
  </si>
  <si>
    <t>03.06.2022 - 13.06.2030</t>
  </si>
  <si>
    <t>03.06.2022 - 13.06.2031</t>
  </si>
  <si>
    <t>03.06.2022 - 13.06.2032</t>
  </si>
  <si>
    <t>03.06.2022 - 13.06.2033</t>
  </si>
  <si>
    <t>03.06.2022 - 13.06.2034</t>
  </si>
  <si>
    <t>03.06.2022 - 13.06.2035</t>
  </si>
  <si>
    <t>03.06.2022 - 13.06.2036</t>
  </si>
  <si>
    <t>03.06.2022 - 13.06.2037</t>
  </si>
  <si>
    <t>03.06.2022 - 13.06.2038</t>
  </si>
  <si>
    <t xml:space="preserve"> 6.1 - Kogukondade investeeringud Covid-19 mõjude leevendamiseks</t>
  </si>
  <si>
    <t>03.06.2022 - 13.06.2039</t>
  </si>
  <si>
    <t>03.06.2022 - 13.06.2040</t>
  </si>
  <si>
    <t>03.06.2022 - 13.06.2041</t>
  </si>
  <si>
    <t>03.06.2022 - 13.06.2042</t>
  </si>
  <si>
    <t>03.06.2022 - 13.06.2043</t>
  </si>
  <si>
    <t>03.06.2022 - 13.06.2044</t>
  </si>
  <si>
    <t>1 - Ettevõtluse arendamine ja kompententsi tõstmine</t>
  </si>
  <si>
    <t>18.04.2022 - 28.04.2022</t>
  </si>
  <si>
    <t>2 - Elukeskkonna arendamine</t>
  </si>
  <si>
    <t>C - COVID-19 kriisiga toimetuleku toetamine ja selle mõjude vahendamine</t>
  </si>
  <si>
    <t>12.09.2022 - 16.09.2022</t>
  </si>
  <si>
    <t>29.08.2022 - 09.09.2022</t>
  </si>
  <si>
    <t>29.08.2022 - 09.09.2023</t>
  </si>
  <si>
    <t>29.08.2022 - 09.09.2024</t>
  </si>
  <si>
    <t>29.08.2022 - 09.09.2025</t>
  </si>
  <si>
    <t>29.08.2022 - 09.09.2026</t>
  </si>
  <si>
    <t>29.08.2022 - 09.09.2027</t>
  </si>
  <si>
    <t>29.08.2022 - 09.09.2028</t>
  </si>
  <si>
    <t>29.08.2022 - 09.09.2029</t>
  </si>
  <si>
    <t>29.08.2022 - 09.09.2030</t>
  </si>
  <si>
    <t>29.08.2022 - 09.09.2031</t>
  </si>
  <si>
    <t>05.09.2022 - 19.09.2022</t>
  </si>
  <si>
    <t>05.09.2022 - 23.09.2022</t>
  </si>
  <si>
    <t>1.1 - Investeeringud häid töökohti säilitavasse ja/või loovasse mikroettevõtlusse</t>
  </si>
  <si>
    <t>05.09.2022 - 14.09.2022</t>
  </si>
  <si>
    <t>Meede 2.1 - Ettevõtluse turundustoetus</t>
  </si>
  <si>
    <t>Meede 2.2 - Ettevõtluse arengutoetus</t>
  </si>
  <si>
    <t>14.09.2022 - 20.09.2022</t>
  </si>
  <si>
    <t>C - COVID-19 kriisi mõjude leevendamine</t>
  </si>
  <si>
    <t>12.09.2022 - 20.09.2022</t>
  </si>
  <si>
    <t>1 - Ettevõtete konkurentsivõime suurendamine ja ühistegevus</t>
  </si>
  <si>
    <t>2 - Elujõuliste kogukondade arendamine ja elukeskkonna parendamine</t>
  </si>
  <si>
    <t>20.09.2022 - 05.10.2022</t>
  </si>
  <si>
    <t xml:space="preserve"> Meede 1-Ettevõtlusele hoo andmine</t>
  </si>
  <si>
    <t xml:space="preserve"> Meede 2 - Kogukondade ja kogukonnateenuste arendamine</t>
  </si>
  <si>
    <t>Meede 3 - Heakorrastatud ja turvaline elukeskkond</t>
  </si>
  <si>
    <t>19.09.2022 - 30.09.2022</t>
  </si>
  <si>
    <t>19.09.2022 - 30.09.2023</t>
  </si>
  <si>
    <t>19.09.2022 - 30.09.2024</t>
  </si>
  <si>
    <t>19.09.2022 - 30.09.2025</t>
  </si>
  <si>
    <t>19.09.2022 - 30.09.2026</t>
  </si>
  <si>
    <t>19.09.2022 - 30.09.2027</t>
  </si>
  <si>
    <t>19.09.2022 - 30.09.2028</t>
  </si>
  <si>
    <t>19.09.2022 - 30.09.2029</t>
  </si>
  <si>
    <t>19.09.2022 - 30.09.2030</t>
  </si>
  <si>
    <t>19.09.2022 - 30.09.2031</t>
  </si>
  <si>
    <t>19.09.2022 - 30.09.2032</t>
  </si>
  <si>
    <t>19.09.2022 - 30.09.2033</t>
  </si>
  <si>
    <t>19.09.2022 - 30.09.2034</t>
  </si>
  <si>
    <t>19.09.2022 - 30.09.2035</t>
  </si>
  <si>
    <t>19.09.2022 - 30.09.2036</t>
  </si>
  <si>
    <t>26.09.2022 - 03.10.2022</t>
  </si>
  <si>
    <t>1 - Kogukonna investeeringute toetamine</t>
  </si>
  <si>
    <t>19.09.2022 - 26.09.2022</t>
  </si>
  <si>
    <t>Meede 1.2- Tooted ja teenused</t>
  </si>
  <si>
    <t>Meede 2-2- Elukeskkond</t>
  </si>
  <si>
    <t>24.10.2022 - 31.10.2022</t>
  </si>
  <si>
    <t>C - Covid 19 mõjude taasterahastu meede ettevõtlusele</t>
  </si>
  <si>
    <t>27.10.2022 - 10.11.2022</t>
  </si>
  <si>
    <t>Meede 2 - Külaarendus ja kogukonnateenused</t>
  </si>
  <si>
    <t>20.09.2022 - 20.10.2022</t>
  </si>
  <si>
    <t>1.2 - Turismiettevõtluse arendamine</t>
  </si>
  <si>
    <t>08.11.2022 - 12.11.2022</t>
  </si>
  <si>
    <t>01.11.2022 - 07.11.2022</t>
  </si>
  <si>
    <t xml:space="preserve"> C - COVID-19 põhjustatud kriisi mõjuga toime tulemine tegevuspiirkonnas</t>
  </si>
  <si>
    <t>17.10.2022 - 27.10.2022</t>
  </si>
  <si>
    <t xml:space="preserve">2 - Elukeskkonna arendamine </t>
  </si>
  <si>
    <t>14.11.2022 - 18.11.2022</t>
  </si>
  <si>
    <t>Covid-19 Taasterahastu vahendite toel ettevõtluse arendamine ja mitmekesistamine</t>
  </si>
  <si>
    <t>08.10.2022-17.10.2022</t>
  </si>
  <si>
    <t>26.10.2022-01.11.2022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</si>
</sst>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00"/>
    <numFmt numFmtId="165" formatCode="dd/mmmm"/>
  </numFmts>
  <fonts count="3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Verdan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sz val="11"/>
      <name val="Times New Roman"/>
      <family val="1"/>
    </font>
    <font>
      <sz val="10"/>
      <color rgb="FF333333"/>
      <name val="Arial"/>
      <family val="2"/>
    </font>
    <font>
      <sz val="12"/>
      <name val="Calibri"/>
      <family val="2"/>
      <charset val="186"/>
      <scheme val="minor"/>
    </font>
    <font>
      <sz val="11"/>
      <name val="Arial"/>
      <family val="2"/>
    </font>
    <font>
      <sz val="11"/>
      <color rgb="FF333333"/>
      <name val="Arial"/>
      <family val="2"/>
    </font>
    <font>
      <sz val="12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0"/>
      <name val="Calibri"/>
      <family val="2"/>
      <charset val="186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Tahoma"/>
      <family val="2"/>
      <charset val="186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10" borderId="49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22" fillId="0" borderId="0" applyNumberFormat="0" applyFill="0" applyBorder="0" applyAlignment="0" applyProtection="0"/>
    <xf numFmtId="0" fontId="37" fillId="0" borderId="0"/>
    <xf numFmtId="44" fontId="14" fillId="0" borderId="0" applyFont="0" applyFill="0" applyBorder="0" applyAlignment="0" applyProtection="0"/>
  </cellStyleXfs>
  <cellXfs count="869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center"/>
    </xf>
    <xf numFmtId="2" fontId="0" fillId="0" borderId="1" xfId="0" applyNumberFormat="1" applyFill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1" xfId="0" applyFill="1" applyBorder="1"/>
    <xf numFmtId="0" fontId="0" fillId="5" borderId="1" xfId="0" applyFill="1" applyBorder="1"/>
    <xf numFmtId="165" fontId="8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1" fillId="4" borderId="4" xfId="0" applyFont="1" applyFill="1" applyBorder="1"/>
    <xf numFmtId="0" fontId="1" fillId="4" borderId="5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/>
    <xf numFmtId="14" fontId="4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center"/>
    </xf>
    <xf numFmtId="2" fontId="0" fillId="0" borderId="8" xfId="0" applyNumberFormat="1" applyBorder="1"/>
    <xf numFmtId="0" fontId="0" fillId="2" borderId="9" xfId="0" applyFill="1" applyBorder="1"/>
    <xf numFmtId="14" fontId="4" fillId="0" borderId="10" xfId="0" applyNumberFormat="1" applyFont="1" applyBorder="1" applyAlignment="1">
      <alignment horizontal="center" vertical="center" wrapText="1"/>
    </xf>
    <xf numFmtId="0" fontId="0" fillId="2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2" fontId="0" fillId="0" borderId="13" xfId="0" applyNumberFormat="1" applyBorder="1"/>
    <xf numFmtId="0" fontId="0" fillId="3" borderId="14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3" xfId="0" applyBorder="1"/>
    <xf numFmtId="0" fontId="9" fillId="0" borderId="0" xfId="0" applyFont="1"/>
    <xf numFmtId="0" fontId="1" fillId="4" borderId="12" xfId="0" applyFont="1" applyFill="1" applyBorder="1"/>
    <xf numFmtId="0" fontId="1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center"/>
    </xf>
    <xf numFmtId="0" fontId="1" fillId="4" borderId="13" xfId="0" applyFont="1" applyFill="1" applyBorder="1"/>
    <xf numFmtId="0" fontId="1" fillId="4" borderId="14" xfId="0" applyFont="1" applyFill="1" applyBorder="1"/>
    <xf numFmtId="14" fontId="0" fillId="0" borderId="7" xfId="0" applyNumberFormat="1" applyBorder="1" applyAlignment="1">
      <alignment horizontal="center"/>
    </xf>
    <xf numFmtId="0" fontId="5" fillId="0" borderId="8" xfId="0" applyFont="1" applyBorder="1" applyAlignment="1">
      <alignment vertic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0" fillId="5" borderId="13" xfId="0" applyFill="1" applyBorder="1"/>
    <xf numFmtId="0" fontId="5" fillId="0" borderId="8" xfId="0" applyFont="1" applyBorder="1"/>
    <xf numFmtId="0" fontId="0" fillId="5" borderId="8" xfId="0" applyFill="1" applyBorder="1"/>
    <xf numFmtId="0" fontId="0" fillId="3" borderId="11" xfId="0" applyFill="1" applyBorder="1"/>
    <xf numFmtId="0" fontId="0" fillId="0" borderId="8" xfId="0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3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1" fillId="4" borderId="18" xfId="0" applyFont="1" applyFill="1" applyBorder="1"/>
    <xf numFmtId="0" fontId="1" fillId="4" borderId="19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5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5" fillId="5" borderId="1" xfId="0" applyFont="1" applyFill="1" applyBorder="1"/>
    <xf numFmtId="14" fontId="0" fillId="5" borderId="7" xfId="0" applyNumberFormat="1" applyFill="1" applyBorder="1" applyAlignment="1">
      <alignment horizontal="center"/>
    </xf>
    <xf numFmtId="0" fontId="5" fillId="5" borderId="8" xfId="0" applyFont="1" applyFill="1" applyBorder="1" applyAlignment="1">
      <alignment vertical="center"/>
    </xf>
    <xf numFmtId="14" fontId="0" fillId="5" borderId="10" xfId="0" applyNumberFormat="1" applyFill="1" applyBorder="1" applyAlignment="1">
      <alignment horizontal="center"/>
    </xf>
    <xf numFmtId="14" fontId="0" fillId="5" borderId="12" xfId="0" applyNumberFormat="1" applyFill="1" applyBorder="1" applyAlignment="1">
      <alignment horizontal="center"/>
    </xf>
    <xf numFmtId="0" fontId="2" fillId="5" borderId="13" xfId="0" applyFont="1" applyFill="1" applyBorder="1" applyAlignment="1">
      <alignment vertical="center"/>
    </xf>
    <xf numFmtId="0" fontId="5" fillId="5" borderId="8" xfId="0" applyFont="1" applyFill="1" applyBorder="1"/>
    <xf numFmtId="0" fontId="5" fillId="5" borderId="13" xfId="0" applyFont="1" applyFill="1" applyBorder="1"/>
    <xf numFmtId="0" fontId="5" fillId="5" borderId="13" xfId="0" applyFont="1" applyFill="1" applyBorder="1" applyAlignment="1">
      <alignment vertical="center"/>
    </xf>
    <xf numFmtId="0" fontId="0" fillId="0" borderId="3" xfId="0" applyBorder="1"/>
    <xf numFmtId="0" fontId="0" fillId="2" borderId="14" xfId="0" applyFill="1" applyBorder="1"/>
    <xf numFmtId="0" fontId="5" fillId="0" borderId="13" xfId="0" applyFont="1" applyBorder="1"/>
    <xf numFmtId="164" fontId="0" fillId="0" borderId="8" xfId="0" applyNumberFormat="1" applyBorder="1"/>
    <xf numFmtId="164" fontId="0" fillId="0" borderId="13" xfId="0" applyNumberFormat="1" applyBorder="1"/>
    <xf numFmtId="0" fontId="2" fillId="0" borderId="8" xfId="0" applyFont="1" applyBorder="1" applyAlignment="1">
      <alignment vertical="center"/>
    </xf>
    <xf numFmtId="17" fontId="4" fillId="0" borderId="7" xfId="0" applyNumberFormat="1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right"/>
    </xf>
    <xf numFmtId="17" fontId="4" fillId="0" borderId="10" xfId="0" applyNumberFormat="1" applyFont="1" applyBorder="1" applyAlignment="1">
      <alignment horizontal="center" vertical="center" wrapText="1"/>
    </xf>
    <xf numFmtId="0" fontId="0" fillId="0" borderId="10" xfId="0" applyBorder="1"/>
    <xf numFmtId="0" fontId="0" fillId="0" borderId="12" xfId="0" applyBorder="1"/>
    <xf numFmtId="2" fontId="0" fillId="0" borderId="13" xfId="0" applyNumberFormat="1" applyFill="1" applyBorder="1"/>
    <xf numFmtId="2" fontId="0" fillId="0" borderId="8" xfId="0" applyNumberFormat="1" applyFill="1" applyBorder="1"/>
    <xf numFmtId="0" fontId="5" fillId="0" borderId="8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" fillId="4" borderId="20" xfId="0" applyFont="1" applyFill="1" applyBorder="1"/>
    <xf numFmtId="0" fontId="1" fillId="4" borderId="20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0" xfId="0" applyNumberFormat="1" applyBorder="1"/>
    <xf numFmtId="0" fontId="0" fillId="3" borderId="22" xfId="0" applyFill="1" applyBorder="1"/>
    <xf numFmtId="2" fontId="4" fillId="0" borderId="7" xfId="0" applyNumberFormat="1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64" fontId="0" fillId="0" borderId="13" xfId="0" applyNumberFormat="1" applyFill="1" applyBorder="1"/>
    <xf numFmtId="0" fontId="5" fillId="0" borderId="8" xfId="0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5" fillId="0" borderId="13" xfId="0" applyFont="1" applyBorder="1" applyAlignment="1">
      <alignment vertical="center"/>
    </xf>
    <xf numFmtId="1" fontId="0" fillId="0" borderId="13" xfId="0" applyNumberFormat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" fontId="0" fillId="0" borderId="8" xfId="0" applyNumberFormat="1" applyBorder="1"/>
    <xf numFmtId="1" fontId="0" fillId="0" borderId="13" xfId="0" applyNumberFormat="1" applyBorder="1"/>
    <xf numFmtId="165" fontId="8" fillId="0" borderId="8" xfId="0" applyNumberFormat="1" applyFont="1" applyFill="1" applyBorder="1" applyAlignment="1">
      <alignment horizontal="left"/>
    </xf>
    <xf numFmtId="1" fontId="3" fillId="0" borderId="8" xfId="0" applyNumberFormat="1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15" fontId="4" fillId="0" borderId="7" xfId="0" applyNumberFormat="1" applyFont="1" applyBorder="1" applyAlignment="1">
      <alignment horizontal="center" vertical="center" wrapText="1"/>
    </xf>
    <xf numFmtId="15" fontId="4" fillId="0" borderId="10" xfId="0" applyNumberFormat="1" applyFont="1" applyBorder="1" applyAlignment="1">
      <alignment horizontal="center" vertical="center" wrapText="1"/>
    </xf>
    <xf numFmtId="15" fontId="4" fillId="0" borderId="1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5" fillId="0" borderId="19" xfId="0" applyFont="1" applyBorder="1" applyAlignment="1">
      <alignment horizontal="left"/>
    </xf>
    <xf numFmtId="0" fontId="0" fillId="0" borderId="19" xfId="0" applyBorder="1" applyAlignment="1">
      <alignment horizontal="center"/>
    </xf>
    <xf numFmtId="164" fontId="0" fillId="0" borderId="19" xfId="0" applyNumberFormat="1" applyFill="1" applyBorder="1"/>
    <xf numFmtId="0" fontId="1" fillId="4" borderId="21" xfId="0" applyFont="1" applyFill="1" applyBorder="1"/>
    <xf numFmtId="164" fontId="0" fillId="0" borderId="8" xfId="0" applyNumberFormat="1" applyFill="1" applyBorder="1"/>
    <xf numFmtId="2" fontId="0" fillId="0" borderId="8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0" fillId="0" borderId="7" xfId="0" applyBorder="1"/>
    <xf numFmtId="2" fontId="0" fillId="0" borderId="8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4" fontId="4" fillId="5" borderId="10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/>
    </xf>
    <xf numFmtId="0" fontId="2" fillId="0" borderId="20" xfId="0" applyFont="1" applyBorder="1" applyAlignment="1">
      <alignment vertical="center"/>
    </xf>
    <xf numFmtId="1" fontId="0" fillId="0" borderId="20" xfId="0" applyNumberFormat="1" applyBorder="1" applyAlignment="1">
      <alignment horizontal="center"/>
    </xf>
    <xf numFmtId="2" fontId="0" fillId="0" borderId="20" xfId="0" applyNumberFormat="1" applyFill="1" applyBorder="1"/>
    <xf numFmtId="14" fontId="0" fillId="0" borderId="21" xfId="0" applyNumberFormat="1" applyBorder="1" applyAlignment="1">
      <alignment horizontal="center"/>
    </xf>
    <xf numFmtId="0" fontId="2" fillId="5" borderId="8" xfId="0" applyFont="1" applyFill="1" applyBorder="1" applyAlignment="1">
      <alignment vertical="center"/>
    </xf>
    <xf numFmtId="1" fontId="0" fillId="5" borderId="8" xfId="0" applyNumberFormat="1" applyFill="1" applyBorder="1" applyAlignment="1">
      <alignment horizontal="center"/>
    </xf>
    <xf numFmtId="0" fontId="0" fillId="6" borderId="11" xfId="0" applyFill="1" applyBorder="1"/>
    <xf numFmtId="0" fontId="0" fillId="5" borderId="10" xfId="0" applyFill="1" applyBorder="1" applyAlignment="1">
      <alignment horizontal="center"/>
    </xf>
    <xf numFmtId="14" fontId="0" fillId="5" borderId="2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0" fillId="2" borderId="6" xfId="0" applyFill="1" applyBorder="1"/>
    <xf numFmtId="0" fontId="0" fillId="5" borderId="8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5" fillId="0" borderId="20" xfId="0" applyFont="1" applyBorder="1"/>
    <xf numFmtId="0" fontId="0" fillId="0" borderId="20" xfId="0" applyBorder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14" fontId="0" fillId="0" borderId="1" xfId="0" applyNumberFormat="1" applyBorder="1" applyAlignment="1">
      <alignment horizontal="center"/>
    </xf>
    <xf numFmtId="0" fontId="1" fillId="4" borderId="22" xfId="0" applyFont="1" applyFill="1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/>
    <xf numFmtId="0" fontId="4" fillId="0" borderId="13" xfId="0" applyFont="1" applyBorder="1"/>
    <xf numFmtId="0" fontId="4" fillId="0" borderId="5" xfId="0" applyFont="1" applyBorder="1"/>
    <xf numFmtId="0" fontId="0" fillId="0" borderId="5" xfId="0" applyBorder="1"/>
    <xf numFmtId="0" fontId="1" fillId="4" borderId="6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0" borderId="1" xfId="0" applyFont="1" applyFill="1" applyBorder="1"/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applyBorder="1"/>
    <xf numFmtId="0" fontId="0" fillId="0" borderId="26" xfId="0" applyBorder="1" applyAlignment="1">
      <alignment horizontal="right"/>
    </xf>
    <xf numFmtId="0" fontId="5" fillId="0" borderId="8" xfId="0" applyFont="1" applyFill="1" applyBorder="1"/>
    <xf numFmtId="0" fontId="0" fillId="0" borderId="28" xfId="0" applyBorder="1"/>
    <xf numFmtId="0" fontId="5" fillId="0" borderId="13" xfId="0" applyFont="1" applyFill="1" applyBorder="1"/>
    <xf numFmtId="0" fontId="0" fillId="0" borderId="29" xfId="0" applyBorder="1"/>
    <xf numFmtId="0" fontId="5" fillId="0" borderId="5" xfId="0" applyFont="1" applyFill="1" applyBorder="1"/>
    <xf numFmtId="0" fontId="0" fillId="0" borderId="5" xfId="0" applyBorder="1" applyAlignment="1">
      <alignment horizontal="left"/>
    </xf>
    <xf numFmtId="0" fontId="0" fillId="0" borderId="30" xfId="0" applyBorder="1"/>
    <xf numFmtId="0" fontId="0" fillId="2" borderId="28" xfId="0" applyFill="1" applyBorder="1"/>
    <xf numFmtId="0" fontId="0" fillId="2" borderId="26" xfId="0" applyFill="1" applyBorder="1"/>
    <xf numFmtId="0" fontId="0" fillId="2" borderId="29" xfId="0" applyFill="1" applyBorder="1"/>
    <xf numFmtId="0" fontId="0" fillId="2" borderId="31" xfId="0" applyFill="1" applyBorder="1"/>
    <xf numFmtId="0" fontId="0" fillId="2" borderId="30" xfId="0" applyFill="1" applyBorder="1"/>
    <xf numFmtId="0" fontId="0" fillId="3" borderId="26" xfId="0" applyFill="1" applyBorder="1"/>
    <xf numFmtId="0" fontId="0" fillId="3" borderId="29" xfId="0" applyFill="1" applyBorder="1"/>
    <xf numFmtId="0" fontId="1" fillId="4" borderId="31" xfId="0" applyFont="1" applyFill="1" applyBorder="1"/>
    <xf numFmtId="0" fontId="5" fillId="0" borderId="3" xfId="0" applyFont="1" applyBorder="1"/>
    <xf numFmtId="0" fontId="0" fillId="0" borderId="13" xfId="0" applyFill="1" applyBorder="1"/>
    <xf numFmtId="0" fontId="0" fillId="0" borderId="3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0" fillId="0" borderId="21" xfId="0" applyBorder="1" applyAlignment="1">
      <alignment horizontal="left"/>
    </xf>
    <xf numFmtId="0" fontId="0" fillId="2" borderId="8" xfId="0" applyFill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3" xfId="0" applyFill="1" applyBorder="1"/>
    <xf numFmtId="0" fontId="0" fillId="3" borderId="13" xfId="0" applyFill="1" applyBorder="1"/>
    <xf numFmtId="0" fontId="0" fillId="0" borderId="21" xfId="0" applyBorder="1"/>
    <xf numFmtId="0" fontId="5" fillId="0" borderId="20" xfId="0" applyFont="1" applyBorder="1" applyAlignment="1">
      <alignment horizontal="left"/>
    </xf>
    <xf numFmtId="2" fontId="0" fillId="0" borderId="20" xfId="0" applyNumberFormat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0" fontId="0" fillId="0" borderId="7" xfId="0" applyFill="1" applyBorder="1"/>
    <xf numFmtId="2" fontId="0" fillId="0" borderId="8" xfId="0" applyNumberFormat="1" applyFill="1" applyBorder="1" applyAlignment="1">
      <alignment horizontal="right"/>
    </xf>
    <xf numFmtId="0" fontId="0" fillId="0" borderId="10" xfId="0" applyFill="1" applyBorder="1"/>
    <xf numFmtId="0" fontId="0" fillId="0" borderId="12" xfId="0" applyFill="1" applyBorder="1"/>
    <xf numFmtId="2" fontId="0" fillId="0" borderId="13" xfId="0" applyNumberFormat="1" applyFill="1" applyBorder="1" applyAlignment="1">
      <alignment horizontal="right"/>
    </xf>
    <xf numFmtId="14" fontId="0" fillId="0" borderId="18" xfId="0" applyNumberFormat="1" applyBorder="1" applyAlignment="1">
      <alignment horizontal="center"/>
    </xf>
    <xf numFmtId="0" fontId="1" fillId="4" borderId="25" xfId="0" applyFont="1" applyFill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4" borderId="24" xfId="0" applyFont="1" applyFill="1" applyBorder="1"/>
    <xf numFmtId="0" fontId="1" fillId="4" borderId="23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center"/>
    </xf>
    <xf numFmtId="0" fontId="1" fillId="4" borderId="23" xfId="0" applyFont="1" applyFill="1" applyBorder="1"/>
    <xf numFmtId="0" fontId="1" fillId="4" borderId="3" xfId="0" applyFont="1" applyFill="1" applyBorder="1"/>
    <xf numFmtId="0" fontId="1" fillId="4" borderId="3" xfId="0" applyFont="1" applyFill="1" applyBorder="1" applyAlignment="1">
      <alignment horizontal="left"/>
    </xf>
    <xf numFmtId="164" fontId="0" fillId="0" borderId="20" xfId="0" applyNumberFormat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10" fillId="2" borderId="1" xfId="0" applyFont="1" applyFill="1" applyBorder="1"/>
    <xf numFmtId="0" fontId="5" fillId="0" borderId="1" xfId="0" applyFont="1" applyFill="1" applyBorder="1" applyAlignment="1">
      <alignment vertical="center"/>
    </xf>
    <xf numFmtId="14" fontId="0" fillId="0" borderId="10" xfId="0" applyNumberFormat="1" applyFill="1" applyBorder="1" applyAlignment="1">
      <alignment horizontal="center"/>
    </xf>
    <xf numFmtId="0" fontId="0" fillId="2" borderId="13" xfId="0" applyFill="1" applyBorder="1"/>
    <xf numFmtId="14" fontId="0" fillId="0" borderId="24" xfId="0" applyNumberFormat="1" applyBorder="1" applyAlignment="1">
      <alignment horizontal="center"/>
    </xf>
    <xf numFmtId="0" fontId="5" fillId="0" borderId="23" xfId="0" applyFont="1" applyBorder="1"/>
    <xf numFmtId="1" fontId="0" fillId="0" borderId="23" xfId="0" applyNumberFormat="1" applyBorder="1" applyAlignment="1">
      <alignment horizontal="center"/>
    </xf>
    <xf numFmtId="2" fontId="0" fillId="0" borderId="23" xfId="0" applyNumberFormat="1" applyBorder="1"/>
    <xf numFmtId="0" fontId="0" fillId="2" borderId="23" xfId="0" applyFill="1" applyBorder="1"/>
    <xf numFmtId="0" fontId="0" fillId="2" borderId="38" xfId="0" applyFill="1" applyBorder="1"/>
    <xf numFmtId="0" fontId="5" fillId="0" borderId="19" xfId="0" applyFont="1" applyBorder="1"/>
    <xf numFmtId="1" fontId="0" fillId="0" borderId="19" xfId="0" applyNumberFormat="1" applyBorder="1" applyAlignment="1">
      <alignment horizontal="center"/>
    </xf>
    <xf numFmtId="2" fontId="0" fillId="0" borderId="19" xfId="0" applyNumberFormat="1" applyBorder="1"/>
    <xf numFmtId="0" fontId="0" fillId="2" borderId="19" xfId="0" applyFill="1" applyBorder="1"/>
    <xf numFmtId="0" fontId="0" fillId="0" borderId="34" xfId="0" applyBorder="1" applyAlignment="1">
      <alignment horizontal="center"/>
    </xf>
    <xf numFmtId="49" fontId="0" fillId="0" borderId="10" xfId="0" applyNumberFormat="1" applyFill="1" applyBorder="1"/>
    <xf numFmtId="2" fontId="0" fillId="0" borderId="10" xfId="0" applyNumberFormat="1" applyFill="1" applyBorder="1"/>
    <xf numFmtId="0" fontId="5" fillId="0" borderId="26" xfId="0" applyFont="1" applyBorder="1" applyAlignment="1">
      <alignment horizontal="left" vertical="center"/>
    </xf>
    <xf numFmtId="0" fontId="0" fillId="0" borderId="8" xfId="0" applyFill="1" applyBorder="1"/>
    <xf numFmtId="0" fontId="5" fillId="0" borderId="28" xfId="0" applyFont="1" applyBorder="1" applyAlignment="1">
      <alignment horizontal="left" vertical="center"/>
    </xf>
    <xf numFmtId="0" fontId="0" fillId="2" borderId="28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" fillId="4" borderId="40" xfId="0" applyFont="1" applyFill="1" applyBorder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1" fillId="4" borderId="41" xfId="0" applyFont="1" applyFill="1" applyBorder="1"/>
    <xf numFmtId="0" fontId="1" fillId="4" borderId="38" xfId="0" applyFont="1" applyFill="1" applyBorder="1" applyAlignment="1">
      <alignment horizontal="left"/>
    </xf>
    <xf numFmtId="0" fontId="1" fillId="4" borderId="38" xfId="0" applyFont="1" applyFill="1" applyBorder="1" applyAlignment="1">
      <alignment horizontal="center"/>
    </xf>
    <xf numFmtId="0" fontId="1" fillId="4" borderId="38" xfId="0" applyFont="1" applyFill="1" applyBorder="1"/>
    <xf numFmtId="0" fontId="11" fillId="7" borderId="0" xfId="0" applyFont="1" applyFill="1"/>
    <xf numFmtId="2" fontId="0" fillId="0" borderId="20" xfId="0" applyNumberFormat="1" applyBorder="1"/>
    <xf numFmtId="0" fontId="2" fillId="0" borderId="8" xfId="0" applyFont="1" applyFill="1" applyBorder="1" applyAlignment="1">
      <alignment vertical="center"/>
    </xf>
    <xf numFmtId="0" fontId="0" fillId="8" borderId="9" xfId="0" applyFill="1" applyBorder="1"/>
    <xf numFmtId="0" fontId="2" fillId="0" borderId="13" xfId="0" applyFont="1" applyFill="1" applyBorder="1" applyAlignment="1">
      <alignment vertical="center"/>
    </xf>
    <xf numFmtId="0" fontId="0" fillId="8" borderId="14" xfId="0" applyFill="1" applyBorder="1"/>
    <xf numFmtId="14" fontId="0" fillId="0" borderId="1" xfId="0" applyNumberFormat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0" borderId="1" xfId="0" applyFont="1" applyFill="1" applyBorder="1"/>
    <xf numFmtId="0" fontId="0" fillId="8" borderId="1" xfId="0" applyFill="1" applyBorder="1"/>
    <xf numFmtId="0" fontId="0" fillId="5" borderId="21" xfId="0" applyFill="1" applyBorder="1" applyAlignment="1">
      <alignment horizontal="center"/>
    </xf>
    <xf numFmtId="0" fontId="2" fillId="5" borderId="20" xfId="0" applyFont="1" applyFill="1" applyBorder="1" applyAlignment="1">
      <alignment vertical="center"/>
    </xf>
    <xf numFmtId="1" fontId="0" fillId="5" borderId="20" xfId="0" applyNumberFormat="1" applyFill="1" applyBorder="1" applyAlignment="1">
      <alignment horizontal="center"/>
    </xf>
    <xf numFmtId="0" fontId="4" fillId="0" borderId="0" xfId="0" applyFont="1" applyBorder="1"/>
    <xf numFmtId="0" fontId="4" fillId="2" borderId="1" xfId="0" applyFont="1" applyFill="1" applyBorder="1"/>
    <xf numFmtId="1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/>
    <xf numFmtId="2" fontId="4" fillId="0" borderId="1" xfId="0" applyNumberFormat="1" applyFont="1" applyBorder="1"/>
    <xf numFmtId="1" fontId="4" fillId="0" borderId="39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center"/>
    </xf>
    <xf numFmtId="0" fontId="13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5" borderId="20" xfId="0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12" fillId="0" borderId="0" xfId="0" applyFont="1" applyBorder="1"/>
    <xf numFmtId="0" fontId="10" fillId="0" borderId="41" xfId="0" applyFont="1" applyBorder="1" applyAlignment="1">
      <alignment horizontal="center"/>
    </xf>
    <xf numFmtId="0" fontId="13" fillId="0" borderId="38" xfId="0" applyFont="1" applyBorder="1" applyAlignment="1">
      <alignment horizontal="left" vertical="center"/>
    </xf>
    <xf numFmtId="0" fontId="10" fillId="0" borderId="38" xfId="0" applyFont="1" applyBorder="1" applyAlignment="1">
      <alignment horizontal="center"/>
    </xf>
    <xf numFmtId="164" fontId="0" fillId="0" borderId="38" xfId="0" applyNumberFormat="1" applyBorder="1" applyAlignment="1">
      <alignment horizontal="right"/>
    </xf>
    <xf numFmtId="0" fontId="0" fillId="2" borderId="40" xfId="0" applyFill="1" applyBorder="1"/>
    <xf numFmtId="0" fontId="5" fillId="0" borderId="20" xfId="0" applyFont="1" applyFill="1" applyBorder="1" applyAlignment="1">
      <alignment horizontal="center"/>
    </xf>
    <xf numFmtId="164" fontId="0" fillId="0" borderId="20" xfId="0" applyNumberFormat="1" applyFill="1" applyBorder="1"/>
    <xf numFmtId="4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64" fontId="3" fillId="5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/>
    <xf numFmtId="164" fontId="3" fillId="5" borderId="8" xfId="0" applyNumberFormat="1" applyFont="1" applyFill="1" applyBorder="1"/>
    <xf numFmtId="14" fontId="4" fillId="0" borderId="10" xfId="0" applyNumberFormat="1" applyFont="1" applyFill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Fill="1" applyBorder="1"/>
    <xf numFmtId="164" fontId="3" fillId="5" borderId="20" xfId="0" applyNumberFormat="1" applyFont="1" applyFill="1" applyBorder="1"/>
    <xf numFmtId="0" fontId="4" fillId="0" borderId="8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11" xfId="0" applyFont="1" applyFill="1" applyBorder="1"/>
    <xf numFmtId="0" fontId="4" fillId="3" borderId="11" xfId="0" applyFont="1" applyFill="1" applyBorder="1"/>
    <xf numFmtId="0" fontId="4" fillId="0" borderId="20" xfId="0" applyFont="1" applyBorder="1" applyAlignment="1">
      <alignment horizontal="center"/>
    </xf>
    <xf numFmtId="0" fontId="4" fillId="0" borderId="20" xfId="0" applyFont="1" applyBorder="1"/>
    <xf numFmtId="0" fontId="4" fillId="2" borderId="9" xfId="0" applyFont="1" applyFill="1" applyBorder="1"/>
    <xf numFmtId="0" fontId="4" fillId="0" borderId="8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20" xfId="0" applyFill="1" applyBorder="1"/>
    <xf numFmtId="0" fontId="0" fillId="0" borderId="39" xfId="0" applyBorder="1"/>
    <xf numFmtId="0" fontId="0" fillId="0" borderId="7" xfId="0" applyFill="1" applyBorder="1" applyAlignment="1">
      <alignment horizontal="center"/>
    </xf>
    <xf numFmtId="0" fontId="0" fillId="3" borderId="8" xfId="0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31" xfId="0" applyBorder="1"/>
    <xf numFmtId="0" fontId="0" fillId="0" borderId="20" xfId="0" applyFill="1" applyBorder="1"/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9" borderId="1" xfId="0" applyFill="1" applyBorder="1"/>
    <xf numFmtId="0" fontId="5" fillId="0" borderId="3" xfId="0" applyFont="1" applyFill="1" applyBorder="1" applyAlignment="1">
      <alignment horizontal="left"/>
    </xf>
    <xf numFmtId="0" fontId="0" fillId="9" borderId="3" xfId="0" applyFill="1" applyBorder="1"/>
    <xf numFmtId="164" fontId="0" fillId="0" borderId="3" xfId="0" applyNumberFormat="1" applyBorder="1"/>
    <xf numFmtId="0" fontId="0" fillId="3" borderId="20" xfId="0" applyFill="1" applyBorder="1"/>
    <xf numFmtId="14" fontId="0" fillId="0" borderId="2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/>
    </xf>
    <xf numFmtId="0" fontId="2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14" fontId="0" fillId="5" borderId="1" xfId="0" applyNumberFormat="1" applyFill="1" applyBorder="1" applyAlignment="1">
      <alignment horizontal="center"/>
    </xf>
    <xf numFmtId="0" fontId="5" fillId="5" borderId="3" xfId="0" applyFont="1" applyFill="1" applyBorder="1"/>
    <xf numFmtId="0" fontId="0" fillId="0" borderId="3" xfId="0" applyFill="1" applyBorder="1" applyAlignment="1">
      <alignment horizontal="center"/>
    </xf>
    <xf numFmtId="0" fontId="0" fillId="0" borderId="42" xfId="0" applyBorder="1"/>
    <xf numFmtId="0" fontId="0" fillId="0" borderId="40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1" xfId="0" applyNumberFormat="1" applyBorder="1"/>
    <xf numFmtId="0" fontId="4" fillId="0" borderId="1" xfId="0" applyNumberFormat="1" applyFont="1" applyBorder="1"/>
    <xf numFmtId="0" fontId="0" fillId="0" borderId="45" xfId="0" applyFill="1" applyBorder="1"/>
    <xf numFmtId="0" fontId="0" fillId="0" borderId="46" xfId="0" applyFill="1" applyBorder="1"/>
    <xf numFmtId="0" fontId="10" fillId="2" borderId="30" xfId="0" applyFont="1" applyFill="1" applyBorder="1"/>
    <xf numFmtId="0" fontId="10" fillId="2" borderId="28" xfId="0" applyFont="1" applyFill="1" applyBorder="1"/>
    <xf numFmtId="0" fontId="10" fillId="2" borderId="47" xfId="0" applyFont="1" applyFill="1" applyBorder="1"/>
    <xf numFmtId="0" fontId="10" fillId="2" borderId="26" xfId="0" applyFont="1" applyFill="1" applyBorder="1"/>
    <xf numFmtId="0" fontId="0" fillId="0" borderId="43" xfId="0" applyBorder="1"/>
    <xf numFmtId="0" fontId="1" fillId="4" borderId="35" xfId="0" applyFont="1" applyFill="1" applyBorder="1"/>
    <xf numFmtId="0" fontId="1" fillId="4" borderId="36" xfId="0" applyFont="1" applyFill="1" applyBorder="1" applyAlignment="1">
      <alignment horizontal="left"/>
    </xf>
    <xf numFmtId="0" fontId="1" fillId="4" borderId="36" xfId="0" applyFont="1" applyFill="1" applyBorder="1" applyAlignment="1">
      <alignment horizontal="center"/>
    </xf>
    <xf numFmtId="0" fontId="1" fillId="4" borderId="36" xfId="0" applyFont="1" applyFill="1" applyBorder="1"/>
    <xf numFmtId="0" fontId="1" fillId="0" borderId="37" xfId="0" applyFont="1" applyBorder="1"/>
    <xf numFmtId="0" fontId="0" fillId="0" borderId="6" xfId="0" applyBorder="1"/>
    <xf numFmtId="0" fontId="0" fillId="0" borderId="11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44" xfId="0" applyFill="1" applyBorder="1"/>
    <xf numFmtId="0" fontId="4" fillId="2" borderId="27" xfId="0" applyFont="1" applyFill="1" applyBorder="1"/>
    <xf numFmtId="0" fontId="4" fillId="0" borderId="13" xfId="0" applyFont="1" applyFill="1" applyBorder="1"/>
    <xf numFmtId="0" fontId="4" fillId="3" borderId="14" xfId="0" applyFont="1" applyFill="1" applyBorder="1"/>
    <xf numFmtId="0" fontId="4" fillId="3" borderId="13" xfId="0" applyFont="1" applyFill="1" applyBorder="1"/>
    <xf numFmtId="0" fontId="4" fillId="2" borderId="3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2" fontId="0" fillId="0" borderId="3" xfId="0" applyNumberFormat="1" applyBorder="1"/>
    <xf numFmtId="0" fontId="0" fillId="2" borderId="3" xfId="0" applyFill="1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5" borderId="1" xfId="1" applyFont="1" applyFill="1" applyBorder="1"/>
    <xf numFmtId="2" fontId="0" fillId="5" borderId="1" xfId="1" applyNumberFormat="1" applyFont="1" applyFill="1" applyBorder="1"/>
    <xf numFmtId="0" fontId="0" fillId="5" borderId="1" xfId="1" applyFont="1" applyFill="1" applyBorder="1" applyAlignment="1">
      <alignment horizontal="center"/>
    </xf>
    <xf numFmtId="0" fontId="15" fillId="5" borderId="1" xfId="3" applyFont="1" applyFill="1" applyBorder="1"/>
    <xf numFmtId="0" fontId="14" fillId="5" borderId="1" xfId="3" applyFill="1" applyBorder="1"/>
    <xf numFmtId="0" fontId="4" fillId="5" borderId="1" xfId="3" applyFont="1" applyFill="1" applyBorder="1"/>
    <xf numFmtId="0" fontId="4" fillId="5" borderId="1" xfId="3" applyFont="1" applyFill="1" applyBorder="1" applyAlignment="1">
      <alignment horizontal="center"/>
    </xf>
    <xf numFmtId="0" fontId="4" fillId="5" borderId="1" xfId="3" applyFont="1" applyFill="1" applyBorder="1" applyAlignment="1">
      <alignment horizontal="right"/>
    </xf>
    <xf numFmtId="0" fontId="0" fillId="5" borderId="3" xfId="1" applyFont="1" applyFill="1" applyBorder="1" applyAlignment="1">
      <alignment horizontal="center"/>
    </xf>
    <xf numFmtId="0" fontId="0" fillId="5" borderId="3" xfId="1" applyFont="1" applyFill="1" applyBorder="1"/>
    <xf numFmtId="2" fontId="0" fillId="5" borderId="3" xfId="1" applyNumberFormat="1" applyFont="1" applyFill="1" applyBorder="1"/>
    <xf numFmtId="0" fontId="4" fillId="5" borderId="3" xfId="3" applyFont="1" applyFill="1" applyBorder="1" applyAlignment="1">
      <alignment horizontal="center"/>
    </xf>
    <xf numFmtId="0" fontId="4" fillId="5" borderId="3" xfId="3" applyFont="1" applyFill="1" applyBorder="1" applyAlignment="1">
      <alignment horizontal="right"/>
    </xf>
    <xf numFmtId="0" fontId="0" fillId="3" borderId="27" xfId="0" applyFill="1" applyBorder="1"/>
    <xf numFmtId="0" fontId="0" fillId="5" borderId="13" xfId="1" applyFont="1" applyFill="1" applyBorder="1" applyAlignment="1">
      <alignment horizontal="center"/>
    </xf>
    <xf numFmtId="0" fontId="0" fillId="5" borderId="13" xfId="1" applyFont="1" applyFill="1" applyBorder="1"/>
    <xf numFmtId="2" fontId="0" fillId="5" borderId="13" xfId="1" applyNumberFormat="1" applyFont="1" applyFill="1" applyBorder="1"/>
    <xf numFmtId="0" fontId="4" fillId="5" borderId="1" xfId="2" applyFont="1" applyFill="1" applyBorder="1"/>
    <xf numFmtId="0" fontId="4" fillId="5" borderId="1" xfId="2" applyFont="1" applyFill="1" applyBorder="1" applyAlignment="1">
      <alignment horizontal="center"/>
    </xf>
    <xf numFmtId="0" fontId="4" fillId="5" borderId="3" xfId="2" applyFont="1" applyFill="1" applyBorder="1" applyAlignment="1">
      <alignment horizontal="center"/>
    </xf>
    <xf numFmtId="0" fontId="4" fillId="5" borderId="3" xfId="2" applyFont="1" applyFill="1" applyBorder="1"/>
    <xf numFmtId="0" fontId="4" fillId="5" borderId="3" xfId="2" applyFont="1" applyFill="1" applyBorder="1" applyAlignment="1">
      <alignment horizontal="right"/>
    </xf>
    <xf numFmtId="0" fontId="4" fillId="5" borderId="13" xfId="3" applyFont="1" applyFill="1" applyBorder="1" applyAlignment="1">
      <alignment horizontal="center"/>
    </xf>
    <xf numFmtId="0" fontId="15" fillId="5" borderId="13" xfId="3" applyFont="1" applyFill="1" applyBorder="1"/>
    <xf numFmtId="0" fontId="4" fillId="5" borderId="3" xfId="3" applyFont="1" applyFill="1" applyBorder="1"/>
    <xf numFmtId="0" fontId="4" fillId="5" borderId="13" xfId="3" applyFont="1" applyFill="1" applyBorder="1"/>
    <xf numFmtId="0" fontId="0" fillId="0" borderId="32" xfId="0" applyBorder="1"/>
    <xf numFmtId="0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right"/>
    </xf>
    <xf numFmtId="0" fontId="1" fillId="4" borderId="50" xfId="0" applyFont="1" applyFill="1" applyBorder="1"/>
    <xf numFmtId="0" fontId="0" fillId="2" borderId="47" xfId="0" applyFill="1" applyBorder="1"/>
    <xf numFmtId="0" fontId="0" fillId="0" borderId="51" xfId="0" applyBorder="1"/>
    <xf numFmtId="0" fontId="0" fillId="0" borderId="52" xfId="0" applyBorder="1"/>
    <xf numFmtId="0" fontId="5" fillId="0" borderId="31" xfId="0" applyFont="1" applyBorder="1" applyAlignment="1">
      <alignment horizontal="left" vertical="center"/>
    </xf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4" fontId="0" fillId="0" borderId="20" xfId="0" applyNumberFormat="1" applyFill="1" applyBorder="1" applyAlignment="1">
      <alignment horizontal="center"/>
    </xf>
    <xf numFmtId="0" fontId="5" fillId="0" borderId="20" xfId="0" applyFont="1" applyBorder="1" applyAlignment="1">
      <alignment vertical="center"/>
    </xf>
    <xf numFmtId="0" fontId="0" fillId="0" borderId="7" xfId="0" applyBorder="1" applyAlignment="1"/>
    <xf numFmtId="0" fontId="0" fillId="2" borderId="5" xfId="0" applyFill="1" applyBorder="1"/>
    <xf numFmtId="0" fontId="0" fillId="0" borderId="10" xfId="0" applyBorder="1" applyAlignment="1"/>
    <xf numFmtId="0" fontId="0" fillId="0" borderId="10" xfId="0" applyFill="1" applyBorder="1" applyAlignment="1"/>
    <xf numFmtId="0" fontId="0" fillId="0" borderId="10" xfId="0" applyNumberFormat="1" applyFill="1" applyBorder="1" applyAlignment="1"/>
    <xf numFmtId="0" fontId="5" fillId="0" borderId="20" xfId="0" applyFont="1" applyFill="1" applyBorder="1"/>
    <xf numFmtId="0" fontId="0" fillId="0" borderId="20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14" fontId="0" fillId="0" borderId="10" xfId="0" applyNumberFormat="1" applyFill="1" applyBorder="1" applyAlignment="1"/>
    <xf numFmtId="0" fontId="0" fillId="0" borderId="21" xfId="0" applyBorder="1" applyAlignment="1"/>
    <xf numFmtId="14" fontId="0" fillId="0" borderId="12" xfId="0" applyNumberFormat="1" applyFill="1" applyBorder="1" applyAlignment="1"/>
    <xf numFmtId="0" fontId="0" fillId="0" borderId="7" xfId="0" applyFill="1" applyBorder="1" applyAlignment="1"/>
    <xf numFmtId="0" fontId="9" fillId="0" borderId="0" xfId="0" applyFont="1" applyBorder="1"/>
    <xf numFmtId="0" fontId="0" fillId="2" borderId="22" xfId="0" applyFill="1" applyBorder="1"/>
    <xf numFmtId="0" fontId="5" fillId="5" borderId="20" xfId="0" applyFont="1" applyFill="1" applyBorder="1"/>
    <xf numFmtId="0" fontId="0" fillId="0" borderId="20" xfId="0" applyFill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15" fontId="4" fillId="0" borderId="21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/>
    </xf>
    <xf numFmtId="15" fontId="4" fillId="0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5" fontId="4" fillId="0" borderId="10" xfId="0" applyNumberFormat="1" applyFont="1" applyFill="1" applyBorder="1" applyAlignment="1">
      <alignment horizontal="center" vertical="center" wrapText="1"/>
    </xf>
    <xf numFmtId="15" fontId="4" fillId="0" borderId="10" xfId="0" applyNumberFormat="1" applyFont="1" applyFill="1" applyBorder="1" applyAlignment="1">
      <alignment horizontal="center" vertical="center"/>
    </xf>
    <xf numFmtId="15" fontId="4" fillId="0" borderId="7" xfId="0" applyNumberFormat="1" applyFont="1" applyFill="1" applyBorder="1" applyAlignment="1">
      <alignment horizontal="center" vertical="center"/>
    </xf>
    <xf numFmtId="15" fontId="4" fillId="0" borderId="12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4" fontId="4" fillId="0" borderId="7" xfId="0" applyNumberFormat="1" applyFont="1" applyBorder="1" applyAlignment="1">
      <alignment horizontal="center" vertical="top"/>
    </xf>
    <xf numFmtId="4" fontId="4" fillId="0" borderId="10" xfId="0" applyNumberFormat="1" applyFont="1" applyBorder="1" applyAlignment="1">
      <alignment horizontal="center" vertical="top"/>
    </xf>
    <xf numFmtId="2" fontId="0" fillId="0" borderId="7" xfId="0" applyNumberFormat="1" applyBorder="1"/>
    <xf numFmtId="2" fontId="0" fillId="0" borderId="10" xfId="0" applyNumberFormat="1" applyBorder="1"/>
    <xf numFmtId="2" fontId="0" fillId="0" borderId="12" xfId="0" applyNumberFormat="1" applyBorder="1"/>
    <xf numFmtId="0" fontId="13" fillId="0" borderId="5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top"/>
    </xf>
    <xf numFmtId="0" fontId="2" fillId="0" borderId="26" xfId="0" applyFont="1" applyBorder="1" applyAlignment="1">
      <alignment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0" fontId="0" fillId="0" borderId="19" xfId="0" applyBorder="1"/>
    <xf numFmtId="14" fontId="0" fillId="0" borderId="3" xfId="0" applyNumberFormat="1" applyFill="1" applyBorder="1" applyAlignment="1">
      <alignment horizontal="center"/>
    </xf>
    <xf numFmtId="0" fontId="0" fillId="5" borderId="0" xfId="0" applyFill="1"/>
    <xf numFmtId="0" fontId="18" fillId="0" borderId="1" xfId="0" applyFont="1" applyBorder="1"/>
    <xf numFmtId="14" fontId="0" fillId="0" borderId="13" xfId="0" applyNumberFormat="1" applyBorder="1"/>
    <xf numFmtId="0" fontId="0" fillId="8" borderId="13" xfId="0" applyFill="1" applyBorder="1"/>
    <xf numFmtId="14" fontId="0" fillId="0" borderId="1" xfId="0" applyNumberFormat="1" applyFill="1" applyBorder="1"/>
    <xf numFmtId="14" fontId="0" fillId="0" borderId="3" xfId="0" applyNumberFormat="1" applyFill="1" applyBorder="1"/>
    <xf numFmtId="0" fontId="2" fillId="0" borderId="3" xfId="0" applyFont="1" applyFill="1" applyBorder="1" applyAlignment="1">
      <alignment vertical="center"/>
    </xf>
    <xf numFmtId="0" fontId="0" fillId="8" borderId="3" xfId="0" applyFill="1" applyBorder="1"/>
    <xf numFmtId="14" fontId="0" fillId="0" borderId="13" xfId="0" applyNumberFormat="1" applyFill="1" applyBorder="1"/>
    <xf numFmtId="0" fontId="0" fillId="0" borderId="23" xfId="0" applyFont="1" applyFill="1" applyBorder="1" applyAlignment="1">
      <alignment vertical="center" wrapText="1"/>
    </xf>
    <xf numFmtId="0" fontId="0" fillId="2" borderId="20" xfId="0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15" fontId="4" fillId="0" borderId="2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4" fillId="0" borderId="38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1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8" borderId="11" xfId="0" applyFill="1" applyBorder="1"/>
    <xf numFmtId="0" fontId="0" fillId="0" borderId="8" xfId="0" applyNumberFormat="1" applyBorder="1"/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4" fillId="0" borderId="20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0" fillId="0" borderId="20" xfId="0" applyFill="1" applyBorder="1" applyAlignment="1"/>
    <xf numFmtId="0" fontId="1" fillId="0" borderId="21" xfId="0" applyFont="1" applyBorder="1"/>
    <xf numFmtId="0" fontId="4" fillId="0" borderId="20" xfId="0" applyFont="1" applyFill="1" applyBorder="1" applyAlignment="1">
      <alignment vertical="center"/>
    </xf>
    <xf numFmtId="0" fontId="0" fillId="0" borderId="20" xfId="0" applyNumberFormat="1" applyBorder="1"/>
    <xf numFmtId="0" fontId="19" fillId="0" borderId="1" xfId="0" applyFont="1" applyBorder="1"/>
    <xf numFmtId="0" fontId="19" fillId="0" borderId="8" xfId="0" applyFont="1" applyBorder="1"/>
    <xf numFmtId="0" fontId="14" fillId="5" borderId="1" xfId="3" applyFill="1" applyBorder="1" applyAlignment="1">
      <alignment horizontal="center"/>
    </xf>
    <xf numFmtId="0" fontId="4" fillId="5" borderId="20" xfId="2" applyFont="1" applyFill="1" applyBorder="1" applyAlignment="1">
      <alignment horizontal="center"/>
    </xf>
    <xf numFmtId="0" fontId="4" fillId="5" borderId="20" xfId="2" applyFont="1" applyFill="1" applyBorder="1"/>
    <xf numFmtId="0" fontId="0" fillId="0" borderId="23" xfId="0" applyBorder="1"/>
    <xf numFmtId="0" fontId="18" fillId="0" borderId="1" xfId="0" applyFont="1" applyBorder="1" applyAlignment="1"/>
    <xf numFmtId="0" fontId="18" fillId="0" borderId="20" xfId="0" applyFont="1" applyBorder="1" applyAlignment="1"/>
    <xf numFmtId="0" fontId="0" fillId="3" borderId="31" xfId="0" applyFill="1" applyBorder="1"/>
    <xf numFmtId="0" fontId="0" fillId="0" borderId="53" xfId="0" applyFill="1" applyBorder="1"/>
    <xf numFmtId="0" fontId="0" fillId="0" borderId="8" xfId="0" applyFill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8" fillId="0" borderId="20" xfId="0" applyFont="1" applyBorder="1" applyAlignment="1">
      <alignment horizontal="left"/>
    </xf>
    <xf numFmtId="0" fontId="19" fillId="0" borderId="20" xfId="0" applyFont="1" applyBorder="1"/>
    <xf numFmtId="0" fontId="0" fillId="8" borderId="8" xfId="0" applyFill="1" applyBorder="1"/>
    <xf numFmtId="16" fontId="0" fillId="0" borderId="11" xfId="0" applyNumberFormat="1" applyBorder="1" applyAlignment="1">
      <alignment horizontal="center"/>
    </xf>
    <xf numFmtId="0" fontId="3" fillId="0" borderId="21" xfId="0" applyFont="1" applyBorder="1" applyAlignment="1">
      <alignment horizontal="center" vertical="top"/>
    </xf>
    <xf numFmtId="0" fontId="0" fillId="0" borderId="20" xfId="0" applyBorder="1" applyAlignment="1">
      <alignment horizontal="right"/>
    </xf>
    <xf numFmtId="0" fontId="0" fillId="0" borderId="23" xfId="0" applyBorder="1" applyAlignment="1">
      <alignment horizont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4" fontId="4" fillId="0" borderId="3" xfId="0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left"/>
    </xf>
    <xf numFmtId="164" fontId="0" fillId="0" borderId="3" xfId="0" applyNumberFormat="1" applyFill="1" applyBorder="1"/>
    <xf numFmtId="0" fontId="4" fillId="2" borderId="13" xfId="0" applyFont="1" applyFill="1" applyBorder="1"/>
    <xf numFmtId="14" fontId="4" fillId="0" borderId="13" xfId="0" applyNumberFormat="1" applyFont="1" applyFill="1" applyBorder="1" applyAlignment="1">
      <alignment horizontal="center"/>
    </xf>
    <xf numFmtId="14" fontId="4" fillId="0" borderId="19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" fontId="20" fillId="0" borderId="19" xfId="0" applyNumberFormat="1" applyFont="1" applyBorder="1" applyAlignment="1">
      <alignment horizontal="left"/>
    </xf>
    <xf numFmtId="0" fontId="4" fillId="2" borderId="19" xfId="0" applyFont="1" applyFill="1" applyBorder="1"/>
    <xf numFmtId="1" fontId="0" fillId="0" borderId="13" xfId="0" applyNumberFormat="1" applyBorder="1" applyAlignment="1">
      <alignment horizontal="left"/>
    </xf>
    <xf numFmtId="1" fontId="19" fillId="0" borderId="13" xfId="0" applyNumberFormat="1" applyFont="1" applyBorder="1" applyAlignment="1">
      <alignment horizontal="left"/>
    </xf>
    <xf numFmtId="0" fontId="4" fillId="3" borderId="19" xfId="0" applyFont="1" applyFill="1" applyBorder="1"/>
    <xf numFmtId="16" fontId="0" fillId="0" borderId="1" xfId="0" applyNumberFormat="1" applyBorder="1"/>
    <xf numFmtId="0" fontId="4" fillId="0" borderId="1" xfId="0" applyFont="1" applyBorder="1" applyAlignment="1"/>
    <xf numFmtId="0" fontId="4" fillId="0" borderId="1" xfId="0" applyFont="1" applyFill="1" applyBorder="1" applyAlignment="1">
      <alignment horizontal="left"/>
    </xf>
    <xf numFmtId="14" fontId="3" fillId="0" borderId="2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9" xfId="0" applyFill="1" applyBorder="1"/>
    <xf numFmtId="0" fontId="0" fillId="8" borderId="20" xfId="0" applyFill="1" applyBorder="1"/>
    <xf numFmtId="0" fontId="0" fillId="5" borderId="22" xfId="0" applyFill="1" applyBorder="1" applyAlignment="1">
      <alignment horizontal="center"/>
    </xf>
    <xf numFmtId="0" fontId="0" fillId="0" borderId="21" xfId="0" applyFill="1" applyBorder="1"/>
    <xf numFmtId="0" fontId="0" fillId="0" borderId="22" xfId="0" applyBorder="1"/>
    <xf numFmtId="0" fontId="18" fillId="0" borderId="1" xfId="0" applyFont="1" applyFill="1" applyBorder="1" applyAlignment="1"/>
    <xf numFmtId="16" fontId="0" fillId="0" borderId="1" xfId="0" applyNumberFormat="1" applyBorder="1" applyAlignment="1">
      <alignment horizontal="center"/>
    </xf>
    <xf numFmtId="0" fontId="0" fillId="0" borderId="1" xfId="0" applyFill="1" applyBorder="1" applyAlignment="1"/>
    <xf numFmtId="0" fontId="4" fillId="0" borderId="20" xfId="0" applyFont="1" applyFill="1" applyBorder="1" applyAlignment="1">
      <alignment horizontal="center"/>
    </xf>
    <xf numFmtId="14" fontId="0" fillId="0" borderId="3" xfId="0" applyNumberFormat="1" applyBorder="1"/>
    <xf numFmtId="0" fontId="18" fillId="0" borderId="1" xfId="0" applyFont="1" applyFill="1" applyBorder="1"/>
    <xf numFmtId="0" fontId="21" fillId="0" borderId="0" xfId="0" applyFont="1"/>
    <xf numFmtId="0" fontId="10" fillId="0" borderId="0" xfId="0" applyFont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1" fillId="4" borderId="22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3" xfId="0" applyBorder="1" applyAlignment="1">
      <alignment horizontal="center" vertical="center" wrapText="1"/>
    </xf>
    <xf numFmtId="1" fontId="0" fillId="8" borderId="3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0" fillId="0" borderId="1" xfId="0" applyFont="1" applyBorder="1"/>
    <xf numFmtId="0" fontId="0" fillId="0" borderId="20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1" fillId="0" borderId="1" xfId="0" applyFont="1" applyFill="1" applyBorder="1"/>
    <xf numFmtId="0" fontId="0" fillId="0" borderId="3" xfId="0" applyBorder="1" applyAlignment="1">
      <alignment horizontal="right"/>
    </xf>
    <xf numFmtId="0" fontId="0" fillId="0" borderId="54" xfId="0" applyBorder="1"/>
    <xf numFmtId="0" fontId="10" fillId="0" borderId="1" xfId="4" applyFont="1" applyBorder="1" applyAlignment="1">
      <alignment horizontal="center"/>
    </xf>
    <xf numFmtId="4" fontId="0" fillId="0" borderId="1" xfId="0" applyNumberFormat="1" applyBorder="1"/>
    <xf numFmtId="0" fontId="3" fillId="0" borderId="1" xfId="4" applyFont="1" applyBorder="1" applyAlignment="1">
      <alignment horizontal="left" vertical="center" wrapText="1"/>
    </xf>
    <xf numFmtId="0" fontId="9" fillId="0" borderId="1" xfId="0" applyFont="1" applyBorder="1"/>
    <xf numFmtId="0" fontId="10" fillId="0" borderId="1" xfId="4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0" borderId="1" xfId="0" applyBorder="1" applyAlignment="1"/>
    <xf numFmtId="0" fontId="0" fillId="0" borderId="23" xfId="0" applyFill="1" applyBorder="1"/>
    <xf numFmtId="0" fontId="0" fillId="0" borderId="0" xfId="0"/>
    <xf numFmtId="14" fontId="0" fillId="0" borderId="1" xfId="0" applyNumberFormat="1" applyBorder="1" applyAlignment="1">
      <alignment horizontal="left"/>
    </xf>
    <xf numFmtId="1" fontId="23" fillId="0" borderId="1" xfId="4" applyNumberFormat="1" applyFont="1" applyBorder="1" applyAlignment="1">
      <alignment vertical="center" wrapText="1"/>
    </xf>
    <xf numFmtId="2" fontId="23" fillId="0" borderId="1" xfId="0" applyNumberFormat="1" applyFont="1" applyBorder="1" applyAlignment="1">
      <alignment vertical="center" wrapText="1"/>
    </xf>
    <xf numFmtId="1" fontId="23" fillId="0" borderId="1" xfId="4" applyNumberFormat="1" applyFont="1" applyFill="1" applyBorder="1" applyAlignment="1">
      <alignment vertical="center" wrapText="1"/>
    </xf>
    <xf numFmtId="2" fontId="23" fillId="0" borderId="1" xfId="0" applyNumberFormat="1" applyFont="1" applyFill="1" applyBorder="1" applyAlignment="1">
      <alignment vertical="center" wrapText="1"/>
    </xf>
    <xf numFmtId="0" fontId="8" fillId="5" borderId="1" xfId="0" applyFont="1" applyFill="1" applyBorder="1"/>
    <xf numFmtId="0" fontId="23" fillId="0" borderId="1" xfId="4" applyFont="1" applyBorder="1" applyAlignment="1">
      <alignment vertical="center" wrapText="1"/>
    </xf>
    <xf numFmtId="0" fontId="10" fillId="0" borderId="1" xfId="0" applyFont="1" applyFill="1" applyBorder="1"/>
    <xf numFmtId="0" fontId="23" fillId="0" borderId="1" xfId="0" applyFont="1" applyBorder="1" applyAlignment="1">
      <alignment vertical="center" wrapText="1"/>
    </xf>
    <xf numFmtId="14" fontId="10" fillId="0" borderId="1" xfId="0" applyNumberFormat="1" applyFont="1" applyFill="1" applyBorder="1"/>
    <xf numFmtId="0" fontId="10" fillId="13" borderId="1" xfId="4" applyFont="1" applyFill="1" applyBorder="1" applyAlignment="1">
      <alignment horizontal="right" vertical="center" wrapText="1" indent="1"/>
    </xf>
    <xf numFmtId="0" fontId="24" fillId="13" borderId="1" xfId="0" applyFont="1" applyFill="1" applyBorder="1" applyAlignment="1">
      <alignment horizontal="right" vertical="center" wrapText="1" indent="1"/>
    </xf>
    <xf numFmtId="0" fontId="25" fillId="2" borderId="1" xfId="0" applyFont="1" applyFill="1" applyBorder="1"/>
    <xf numFmtId="0" fontId="3" fillId="13" borderId="1" xfId="4" applyFont="1" applyFill="1" applyBorder="1" applyAlignment="1">
      <alignment horizontal="right" vertical="center" wrapText="1" indent="1"/>
    </xf>
    <xf numFmtId="0" fontId="25" fillId="3" borderId="1" xfId="0" applyFont="1" applyFill="1" applyBorder="1"/>
    <xf numFmtId="0" fontId="0" fillId="0" borderId="1" xfId="0" applyFont="1" applyFill="1" applyBorder="1" applyAlignment="1"/>
    <xf numFmtId="0" fontId="0" fillId="2" borderId="1" xfId="0" applyFont="1" applyFill="1" applyBorder="1"/>
    <xf numFmtId="0" fontId="0" fillId="3" borderId="1" xfId="0" applyFont="1" applyFill="1" applyBorder="1"/>
    <xf numFmtId="0" fontId="1" fillId="4" borderId="13" xfId="0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13" borderId="1" xfId="4" applyFont="1" applyFill="1" applyBorder="1" applyAlignment="1">
      <alignment horizontal="right" vertical="center" wrapText="1" indent="1"/>
    </xf>
    <xf numFmtId="0" fontId="10" fillId="13" borderId="1" xfId="4" applyFont="1" applyFill="1" applyBorder="1" applyAlignment="1">
      <alignment horizontal="left" vertical="center" wrapText="1" indent="1"/>
    </xf>
    <xf numFmtId="0" fontId="0" fillId="8" borderId="1" xfId="0" applyFont="1" applyFill="1" applyBorder="1"/>
    <xf numFmtId="0" fontId="0" fillId="0" borderId="28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29" xfId="0" applyBorder="1" applyAlignment="1">
      <alignment horizontal="right"/>
    </xf>
    <xf numFmtId="0" fontId="26" fillId="13" borderId="1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0" fontId="10" fillId="13" borderId="1" xfId="4" applyFont="1" applyFill="1" applyBorder="1" applyAlignment="1">
      <alignment horizontal="center" vertical="center" wrapText="1"/>
    </xf>
    <xf numFmtId="0" fontId="3" fillId="5" borderId="1" xfId="2" applyFont="1" applyFill="1" applyBorder="1"/>
    <xf numFmtId="0" fontId="10" fillId="13" borderId="1" xfId="4" applyFont="1" applyFill="1" applyBorder="1" applyAlignment="1">
      <alignment vertical="center" wrapText="1"/>
    </xf>
    <xf numFmtId="0" fontId="10" fillId="3" borderId="1" xfId="0" applyFont="1" applyFill="1" applyBorder="1"/>
    <xf numFmtId="0" fontId="10" fillId="0" borderId="1" xfId="0" applyFont="1" applyFill="1" applyBorder="1" applyAlignment="1">
      <alignment horizontal="right"/>
    </xf>
    <xf numFmtId="0" fontId="3" fillId="5" borderId="1" xfId="2" applyFont="1" applyFill="1" applyBorder="1" applyAlignment="1">
      <alignment horizontal="right"/>
    </xf>
    <xf numFmtId="0" fontId="27" fillId="13" borderId="1" xfId="0" applyFont="1" applyFill="1" applyBorder="1" applyAlignment="1">
      <alignment horizontal="right" vertical="center" wrapText="1" indent="1"/>
    </xf>
    <xf numFmtId="0" fontId="0" fillId="8" borderId="1" xfId="0" applyFill="1" applyBorder="1" applyAlignment="1">
      <alignment horizontal="left"/>
    </xf>
    <xf numFmtId="0" fontId="10" fillId="0" borderId="20" xfId="0" applyFont="1" applyFill="1" applyBorder="1" applyAlignment="1">
      <alignment horizontal="right"/>
    </xf>
    <xf numFmtId="0" fontId="3" fillId="5" borderId="20" xfId="2" applyFont="1" applyFill="1" applyBorder="1" applyAlignment="1">
      <alignment horizontal="right"/>
    </xf>
    <xf numFmtId="0" fontId="27" fillId="13" borderId="20" xfId="0" applyFont="1" applyFill="1" applyBorder="1" applyAlignment="1">
      <alignment horizontal="right" vertical="center" wrapText="1" indent="1"/>
    </xf>
    <xf numFmtId="0" fontId="0" fillId="8" borderId="2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0" fillId="13" borderId="20" xfId="4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0" fillId="0" borderId="1" xfId="4" applyFont="1" applyBorder="1" applyAlignment="1">
      <alignment horizontal="left" vertical="center" wrapText="1"/>
    </xf>
    <xf numFmtId="0" fontId="28" fillId="0" borderId="1" xfId="0" applyFont="1" applyFill="1" applyBorder="1"/>
    <xf numFmtId="0" fontId="13" fillId="0" borderId="1" xfId="0" applyFont="1" applyFill="1" applyBorder="1" applyAlignment="1">
      <alignment vertical="center"/>
    </xf>
    <xf numFmtId="0" fontId="10" fillId="9" borderId="1" xfId="0" applyFont="1" applyFill="1" applyBorder="1"/>
    <xf numFmtId="0" fontId="3" fillId="13" borderId="1" xfId="0" applyFont="1" applyFill="1" applyBorder="1" applyAlignment="1">
      <alignment horizontal="center" vertical="center" wrapText="1"/>
    </xf>
    <xf numFmtId="0" fontId="10" fillId="8" borderId="1" xfId="0" applyFont="1" applyFill="1" applyBorder="1"/>
    <xf numFmtId="0" fontId="26" fillId="13" borderId="1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4" fillId="0" borderId="23" xfId="0" applyFont="1" applyFill="1" applyBorder="1"/>
    <xf numFmtId="0" fontId="0" fillId="0" borderId="23" xfId="0" applyFill="1" applyBorder="1" applyAlignment="1"/>
    <xf numFmtId="0" fontId="0" fillId="0" borderId="1" xfId="0" applyFill="1" applyBorder="1" applyAlignment="1">
      <alignment horizontal="center" wrapText="1"/>
    </xf>
    <xf numFmtId="0" fontId="5" fillId="5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14" borderId="1" xfId="0" applyFont="1" applyFill="1" applyBorder="1"/>
    <xf numFmtId="0" fontId="10" fillId="0" borderId="1" xfId="0" applyFont="1" applyFill="1" applyBorder="1" applyAlignment="1">
      <alignment horizontal="center"/>
    </xf>
    <xf numFmtId="0" fontId="29" fillId="0" borderId="1" xfId="0" applyFont="1" applyBorder="1" applyAlignment="1">
      <alignment vertical="center" wrapText="1"/>
    </xf>
    <xf numFmtId="0" fontId="29" fillId="0" borderId="1" xfId="4" applyFont="1" applyBorder="1" applyAlignment="1">
      <alignment horizontal="left" vertical="center" wrapText="1"/>
    </xf>
    <xf numFmtId="0" fontId="10" fillId="0" borderId="1" xfId="4" applyFont="1" applyBorder="1" applyAlignment="1">
      <alignment vertical="center" wrapText="1"/>
    </xf>
    <xf numFmtId="0" fontId="10" fillId="0" borderId="1" xfId="4" applyFont="1" applyBorder="1"/>
    <xf numFmtId="0" fontId="31" fillId="0" borderId="1" xfId="0" applyFont="1" applyBorder="1" applyAlignment="1">
      <alignment horizontal="right" vertical="center" wrapText="1"/>
    </xf>
    <xf numFmtId="0" fontId="23" fillId="0" borderId="1" xfId="4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31" fillId="8" borderId="1" xfId="0" applyFont="1" applyFill="1" applyBorder="1" applyAlignment="1">
      <alignment horizontal="left"/>
    </xf>
    <xf numFmtId="0" fontId="10" fillId="0" borderId="1" xfId="4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right" vertical="center" wrapText="1"/>
    </xf>
    <xf numFmtId="0" fontId="31" fillId="3" borderId="1" xfId="0" applyFont="1" applyFill="1" applyBorder="1" applyAlignment="1">
      <alignment horizontal="left"/>
    </xf>
    <xf numFmtId="0" fontId="30" fillId="0" borderId="1" xfId="0" applyFont="1" applyFill="1" applyBorder="1"/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vertical="center" wrapText="1"/>
    </xf>
    <xf numFmtId="0" fontId="4" fillId="0" borderId="23" xfId="0" applyFont="1" applyBorder="1" applyAlignment="1">
      <alignment horizontal="left"/>
    </xf>
    <xf numFmtId="0" fontId="0" fillId="15" borderId="1" xfId="0" applyFill="1" applyBorder="1"/>
    <xf numFmtId="0" fontId="28" fillId="0" borderId="1" xfId="0" applyFont="1" applyFill="1" applyBorder="1" applyAlignment="1">
      <alignment horizontal="center"/>
    </xf>
    <xf numFmtId="0" fontId="10" fillId="5" borderId="1" xfId="3" applyFont="1" applyFill="1" applyBorder="1" applyAlignment="1">
      <alignment horizontal="center"/>
    </xf>
    <xf numFmtId="0" fontId="0" fillId="0" borderId="23" xfId="0" applyFill="1" applyBorder="1" applyAlignment="1">
      <alignment horizontal="left"/>
    </xf>
    <xf numFmtId="0" fontId="10" fillId="0" borderId="20" xfId="0" applyFont="1" applyFill="1" applyBorder="1"/>
    <xf numFmtId="0" fontId="0" fillId="0" borderId="20" xfId="0" applyFill="1" applyBorder="1" applyAlignment="1">
      <alignment horizontal="center" wrapText="1"/>
    </xf>
    <xf numFmtId="0" fontId="29" fillId="0" borderId="20" xfId="4" applyFont="1" applyBorder="1" applyAlignment="1">
      <alignment horizontal="left" vertical="center" wrapText="1"/>
    </xf>
    <xf numFmtId="0" fontId="29" fillId="0" borderId="20" xfId="0" applyFont="1" applyBorder="1" applyAlignment="1">
      <alignment vertical="center" wrapText="1"/>
    </xf>
    <xf numFmtId="0" fontId="10" fillId="3" borderId="20" xfId="0" applyFont="1" applyFill="1" applyBorder="1"/>
    <xf numFmtId="0" fontId="10" fillId="0" borderId="20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9" fillId="0" borderId="1" xfId="0" applyFont="1" applyFill="1" applyBorder="1"/>
    <xf numFmtId="0" fontId="10" fillId="0" borderId="1" xfId="4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10" fillId="0" borderId="20" xfId="4" applyFont="1" applyBorder="1"/>
    <xf numFmtId="0" fontId="3" fillId="13" borderId="1" xfId="4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/>
    <xf numFmtId="0" fontId="10" fillId="0" borderId="1" xfId="0" applyFont="1" applyFill="1" applyBorder="1" applyAlignment="1"/>
    <xf numFmtId="0" fontId="10" fillId="3" borderId="1" xfId="0" applyFont="1" applyFill="1" applyBorder="1" applyAlignment="1"/>
    <xf numFmtId="0" fontId="4" fillId="5" borderId="1" xfId="0" applyFont="1" applyFill="1" applyBorder="1"/>
    <xf numFmtId="0" fontId="10" fillId="0" borderId="20" xfId="0" applyFont="1" applyFill="1" applyBorder="1" applyAlignment="1"/>
    <xf numFmtId="0" fontId="0" fillId="0" borderId="20" xfId="0" applyBorder="1" applyAlignment="1"/>
    <xf numFmtId="0" fontId="0" fillId="0" borderId="20" xfId="0" applyFill="1" applyBorder="1" applyAlignment="1">
      <alignment horizontal="center" vertical="center" wrapText="1"/>
    </xf>
    <xf numFmtId="0" fontId="10" fillId="3" borderId="20" xfId="0" applyFont="1" applyFill="1" applyBorder="1" applyAlignment="1"/>
    <xf numFmtId="0" fontId="10" fillId="13" borderId="1" xfId="4" applyFont="1" applyFill="1" applyBorder="1" applyAlignment="1">
      <alignment vertical="top" wrapText="1"/>
    </xf>
    <xf numFmtId="0" fontId="10" fillId="0" borderId="1" xfId="4" applyFont="1" applyFill="1" applyBorder="1" applyAlignment="1">
      <alignment vertical="top" wrapText="1"/>
    </xf>
    <xf numFmtId="14" fontId="0" fillId="0" borderId="20" xfId="0" applyNumberFormat="1" applyFill="1" applyBorder="1" applyAlignment="1"/>
    <xf numFmtId="0" fontId="8" fillId="13" borderId="1" xfId="0" applyFont="1" applyFill="1" applyBorder="1" applyAlignment="1">
      <alignment horizontal="center" vertical="center" wrapText="1"/>
    </xf>
    <xf numFmtId="0" fontId="10" fillId="8" borderId="20" xfId="0" applyFont="1" applyFill="1" applyBorder="1"/>
    <xf numFmtId="0" fontId="34" fillId="0" borderId="1" xfId="0" applyFont="1" applyFill="1" applyBorder="1"/>
    <xf numFmtId="0" fontId="34" fillId="0" borderId="20" xfId="0" applyFont="1" applyFill="1" applyBorder="1"/>
    <xf numFmtId="0" fontId="3" fillId="0" borderId="20" xfId="4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10" fillId="0" borderId="20" xfId="4" applyFont="1" applyFill="1" applyBorder="1" applyAlignment="1">
      <alignment vertical="top" wrapText="1"/>
    </xf>
    <xf numFmtId="0" fontId="8" fillId="0" borderId="20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vertical="center" wrapText="1"/>
    </xf>
    <xf numFmtId="0" fontId="10" fillId="0" borderId="20" xfId="0" applyFont="1" applyBorder="1"/>
    <xf numFmtId="0" fontId="10" fillId="13" borderId="20" xfId="4" applyFont="1" applyFill="1" applyBorder="1" applyAlignment="1">
      <alignment vertical="top" wrapText="1"/>
    </xf>
    <xf numFmtId="0" fontId="8" fillId="13" borderId="20" xfId="0" applyFont="1" applyFill="1" applyBorder="1" applyAlignment="1">
      <alignment vertical="center" wrapText="1"/>
    </xf>
    <xf numFmtId="0" fontId="10" fillId="0" borderId="1" xfId="4" applyFont="1" applyFill="1" applyBorder="1"/>
    <xf numFmtId="0" fontId="10" fillId="5" borderId="20" xfId="3" applyFont="1" applyFill="1" applyBorder="1" applyAlignment="1">
      <alignment horizontal="center"/>
    </xf>
    <xf numFmtId="0" fontId="3" fillId="5" borderId="20" xfId="2" applyFont="1" applyFill="1" applyBorder="1" applyAlignment="1">
      <alignment horizontal="left"/>
    </xf>
    <xf numFmtId="0" fontId="10" fillId="0" borderId="1" xfId="3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10" fillId="0" borderId="20" xfId="3" applyFont="1" applyFill="1" applyBorder="1" applyAlignment="1">
      <alignment horizontal="center"/>
    </xf>
    <xf numFmtId="0" fontId="3" fillId="0" borderId="20" xfId="2" applyFont="1" applyFill="1" applyBorder="1" applyAlignment="1">
      <alignment horizontal="left"/>
    </xf>
    <xf numFmtId="0" fontId="10" fillId="0" borderId="13" xfId="4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center" wrapText="1"/>
    </xf>
    <xf numFmtId="0" fontId="10" fillId="3" borderId="13" xfId="0" applyFont="1" applyFill="1" applyBorder="1"/>
    <xf numFmtId="0" fontId="10" fillId="0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vertical="center" wrapText="1"/>
    </xf>
    <xf numFmtId="0" fontId="10" fillId="16" borderId="55" xfId="0" applyFont="1" applyFill="1" applyBorder="1"/>
    <xf numFmtId="0" fontId="10" fillId="3" borderId="55" xfId="0" applyFont="1" applyFill="1" applyBorder="1"/>
    <xf numFmtId="0" fontId="24" fillId="13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5" borderId="1" xfId="2" applyFont="1" applyFill="1" applyBorder="1" applyAlignment="1">
      <alignment horizontal="left" vertical="top"/>
    </xf>
    <xf numFmtId="0" fontId="4" fillId="0" borderId="0" xfId="0" applyFont="1"/>
    <xf numFmtId="0" fontId="0" fillId="0" borderId="26" xfId="0" applyFill="1" applyBorder="1"/>
    <xf numFmtId="0" fontId="4" fillId="0" borderId="26" xfId="0" applyFont="1" applyFill="1" applyBorder="1"/>
    <xf numFmtId="0" fontId="3" fillId="0" borderId="0" xfId="0" applyFont="1"/>
    <xf numFmtId="0" fontId="0" fillId="0" borderId="20" xfId="0" applyFill="1" applyBorder="1" applyAlignment="1">
      <alignment horizontal="left"/>
    </xf>
    <xf numFmtId="0" fontId="3" fillId="0" borderId="1" xfId="4" applyFont="1" applyFill="1" applyBorder="1" applyAlignment="1">
      <alignment vertical="top" wrapText="1"/>
    </xf>
    <xf numFmtId="0" fontId="35" fillId="13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4" fillId="2" borderId="20" xfId="0" applyFont="1" applyFill="1" applyBorder="1"/>
    <xf numFmtId="0" fontId="3" fillId="0" borderId="1" xfId="0" applyFont="1" applyBorder="1"/>
    <xf numFmtId="0" fontId="3" fillId="0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35" fillId="0" borderId="20" xfId="0" applyFont="1" applyFill="1" applyBorder="1" applyAlignment="1">
      <alignment vertical="center" wrapText="1"/>
    </xf>
    <xf numFmtId="0" fontId="4" fillId="0" borderId="31" xfId="0" applyFont="1" applyFill="1" applyBorder="1"/>
    <xf numFmtId="0" fontId="24" fillId="0" borderId="20" xfId="0" applyFont="1" applyFill="1" applyBorder="1" applyAlignment="1">
      <alignment vertical="center" wrapText="1"/>
    </xf>
    <xf numFmtId="0" fontId="4" fillId="0" borderId="3" xfId="0" applyFont="1" applyBorder="1"/>
    <xf numFmtId="0" fontId="3" fillId="0" borderId="3" xfId="0" applyFont="1" applyFill="1" applyBorder="1"/>
    <xf numFmtId="0" fontId="10" fillId="0" borderId="3" xfId="0" applyFont="1" applyFill="1" applyBorder="1"/>
    <xf numFmtId="0" fontId="10" fillId="0" borderId="3" xfId="4" applyFont="1" applyFill="1" applyBorder="1" applyAlignment="1">
      <alignment vertical="top" wrapText="1"/>
    </xf>
    <xf numFmtId="0" fontId="3" fillId="5" borderId="20" xfId="2" applyFont="1" applyFill="1" applyBorder="1" applyAlignment="1">
      <alignment horizontal="left" vertical="top"/>
    </xf>
    <xf numFmtId="0" fontId="34" fillId="0" borderId="1" xfId="4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20" xfId="0" applyFont="1" applyFill="1" applyBorder="1" applyAlignment="1">
      <alignment horizontal="center"/>
    </xf>
    <xf numFmtId="0" fontId="10" fillId="13" borderId="23" xfId="4" applyFont="1" applyFill="1" applyBorder="1" applyAlignment="1">
      <alignment vertical="top" wrapText="1"/>
    </xf>
    <xf numFmtId="0" fontId="0" fillId="0" borderId="23" xfId="0" applyFont="1" applyFill="1" applyBorder="1" applyAlignment="1"/>
    <xf numFmtId="0" fontId="0" fillId="0" borderId="1" xfId="0" applyBorder="1" applyAlignment="1">
      <alignment wrapText="1"/>
    </xf>
    <xf numFmtId="0" fontId="36" fillId="0" borderId="1" xfId="0" applyFont="1" applyBorder="1" applyAlignment="1">
      <alignment wrapText="1"/>
    </xf>
    <xf numFmtId="4" fontId="0" fillId="0" borderId="0" xfId="0" applyNumberFormat="1" applyBorder="1"/>
    <xf numFmtId="0" fontId="4" fillId="3" borderId="0" xfId="0" applyFont="1" applyFill="1" applyBorder="1"/>
    <xf numFmtId="0" fontId="10" fillId="16" borderId="1" xfId="0" applyFont="1" applyFill="1" applyBorder="1"/>
    <xf numFmtId="0" fontId="3" fillId="2" borderId="20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3" fillId="0" borderId="23" xfId="0" applyFont="1" applyFill="1" applyBorder="1"/>
    <xf numFmtId="0" fontId="25" fillId="2" borderId="20" xfId="0" applyFont="1" applyFill="1" applyBorder="1"/>
    <xf numFmtId="0" fontId="0" fillId="2" borderId="1" xfId="0" applyFill="1" applyBorder="1" applyAlignment="1">
      <alignment horizontal="left"/>
    </xf>
    <xf numFmtId="1" fontId="0" fillId="8" borderId="2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10" fillId="3" borderId="3" xfId="0" applyFont="1" applyFill="1" applyBorder="1"/>
    <xf numFmtId="0" fontId="19" fillId="0" borderId="0" xfId="0" applyFont="1"/>
    <xf numFmtId="0" fontId="1" fillId="4" borderId="22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39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39" xfId="0" applyFon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10" fillId="2" borderId="20" xfId="0" applyFont="1" applyFill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37" xfId="0" applyFont="1" applyBorder="1" applyAlignment="1">
      <alignment horizontal="center"/>
    </xf>
  </cellXfs>
  <cellStyles count="7">
    <cellStyle name="20% - Accent2" xfId="2" builtinId="34"/>
    <cellStyle name="20% - Accent6" xfId="3" builtinId="50"/>
    <cellStyle name="Currency 2" xfId="6"/>
    <cellStyle name="Hyperlink" xfId="4" builtinId="8"/>
    <cellStyle name="Normal" xfId="0" builtinId="0"/>
    <cellStyle name="Normal 2" xfId="5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printerSettings" Target="../printerSettings/printerSettings9.bin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printerSettings" Target="../printerSettings/printerSettings11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printerSettings" Target="../printerSettings/printerSettings14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printerSettings" Target="../printerSettings/printerSettings15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42" Type="http://schemas.openxmlformats.org/officeDocument/2006/relationships/hyperlink" Target="https://pms.arib.pria.ee/pms-menetlus/" TargetMode="External"/><Relationship Id="rId47" Type="http://schemas.openxmlformats.org/officeDocument/2006/relationships/hyperlink" Target="https://pms.arib.pria.ee/pms-menetlus/" TargetMode="External"/><Relationship Id="rId63" Type="http://schemas.openxmlformats.org/officeDocument/2006/relationships/hyperlink" Target="https://pms.arib.pria.ee/pms-menetlus/" TargetMode="External"/><Relationship Id="rId68" Type="http://schemas.openxmlformats.org/officeDocument/2006/relationships/hyperlink" Target="https://pms.arib.pria.ee/pms-menetlus/" TargetMode="External"/><Relationship Id="rId84" Type="http://schemas.openxmlformats.org/officeDocument/2006/relationships/hyperlink" Target="https://pms.arib.pria.ee/pms-menetlus/" TargetMode="External"/><Relationship Id="rId89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37" Type="http://schemas.openxmlformats.org/officeDocument/2006/relationships/hyperlink" Target="https://pms.arib.pria.ee/pms-menetlus/" TargetMode="External"/><Relationship Id="rId53" Type="http://schemas.openxmlformats.org/officeDocument/2006/relationships/hyperlink" Target="https://pms.arib.pria.ee/pms-menetlus/" TargetMode="External"/><Relationship Id="rId58" Type="http://schemas.openxmlformats.org/officeDocument/2006/relationships/hyperlink" Target="https://pms.arib.pria.ee/pms-menetlus/" TargetMode="External"/><Relationship Id="rId74" Type="http://schemas.openxmlformats.org/officeDocument/2006/relationships/hyperlink" Target="https://pms.arib.pria.ee/pms-menetlus/" TargetMode="External"/><Relationship Id="rId79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90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43" Type="http://schemas.openxmlformats.org/officeDocument/2006/relationships/hyperlink" Target="https://pms.arib.pria.ee/pms-menetlus/" TargetMode="External"/><Relationship Id="rId48" Type="http://schemas.openxmlformats.org/officeDocument/2006/relationships/hyperlink" Target="https://pms.arib.pria.ee/pms-menetlus/" TargetMode="External"/><Relationship Id="rId64" Type="http://schemas.openxmlformats.org/officeDocument/2006/relationships/hyperlink" Target="https://pms.arib.pria.ee/pms-menetlus/" TargetMode="External"/><Relationship Id="rId69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Relationship Id="rId51" Type="http://schemas.openxmlformats.org/officeDocument/2006/relationships/hyperlink" Target="https://pms.arib.pria.ee/pms-menetlus/" TargetMode="External"/><Relationship Id="rId72" Type="http://schemas.openxmlformats.org/officeDocument/2006/relationships/hyperlink" Target="https://pms.arib.pria.ee/pms-menetlus/" TargetMode="External"/><Relationship Id="rId80" Type="http://schemas.openxmlformats.org/officeDocument/2006/relationships/hyperlink" Target="https://pms.arib.pria.ee/pms-menetlus/" TargetMode="External"/><Relationship Id="rId85" Type="http://schemas.openxmlformats.org/officeDocument/2006/relationships/hyperlink" Target="https://pms.arib.pria.ee/pms-menetlus/" TargetMode="External"/><Relationship Id="rId93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38" Type="http://schemas.openxmlformats.org/officeDocument/2006/relationships/hyperlink" Target="https://pms.arib.pria.ee/pms-menetlus/" TargetMode="External"/><Relationship Id="rId46" Type="http://schemas.openxmlformats.org/officeDocument/2006/relationships/hyperlink" Target="https://pms.arib.pria.ee/pms-menetlus/" TargetMode="External"/><Relationship Id="rId59" Type="http://schemas.openxmlformats.org/officeDocument/2006/relationships/hyperlink" Target="https://pms.arib.pria.ee/pms-menetlus/" TargetMode="External"/><Relationship Id="rId67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41" Type="http://schemas.openxmlformats.org/officeDocument/2006/relationships/hyperlink" Target="https://pms.arib.pria.ee/pms-menetlus/" TargetMode="External"/><Relationship Id="rId54" Type="http://schemas.openxmlformats.org/officeDocument/2006/relationships/hyperlink" Target="https://pms.arib.pria.ee/pms-menetlus/" TargetMode="External"/><Relationship Id="rId62" Type="http://schemas.openxmlformats.org/officeDocument/2006/relationships/hyperlink" Target="https://pms.arib.pria.ee/pms-menetlus/" TargetMode="External"/><Relationship Id="rId70" Type="http://schemas.openxmlformats.org/officeDocument/2006/relationships/hyperlink" Target="https://pms.arib.pria.ee/pms-menetlus/" TargetMode="External"/><Relationship Id="rId75" Type="http://schemas.openxmlformats.org/officeDocument/2006/relationships/hyperlink" Target="https://pms.arib.pria.ee/pms-menetlus/" TargetMode="External"/><Relationship Id="rId83" Type="http://schemas.openxmlformats.org/officeDocument/2006/relationships/hyperlink" Target="https://pms.arib.pria.ee/pms-menetlus/" TargetMode="External"/><Relationship Id="rId88" Type="http://schemas.openxmlformats.org/officeDocument/2006/relationships/hyperlink" Target="https://pms.arib.pria.ee/pms-menetlus/" TargetMode="External"/><Relationship Id="rId91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hyperlink" Target="https://pms.arib.pria.ee/pms-menetlus/" TargetMode="External"/><Relationship Id="rId49" Type="http://schemas.openxmlformats.org/officeDocument/2006/relationships/hyperlink" Target="https://pms.arib.pria.ee/pms-menetlus/" TargetMode="External"/><Relationship Id="rId57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4" Type="http://schemas.openxmlformats.org/officeDocument/2006/relationships/hyperlink" Target="https://pms.arib.pria.ee/pms-menetlus/" TargetMode="External"/><Relationship Id="rId52" Type="http://schemas.openxmlformats.org/officeDocument/2006/relationships/hyperlink" Target="https://pms.arib.pria.ee/pms-menetlus/" TargetMode="External"/><Relationship Id="rId60" Type="http://schemas.openxmlformats.org/officeDocument/2006/relationships/hyperlink" Target="https://pms.arib.pria.ee/pms-menetlus/" TargetMode="External"/><Relationship Id="rId65" Type="http://schemas.openxmlformats.org/officeDocument/2006/relationships/hyperlink" Target="https://pms.arib.pria.ee/pms-menetlus/" TargetMode="External"/><Relationship Id="rId73" Type="http://schemas.openxmlformats.org/officeDocument/2006/relationships/hyperlink" Target="https://pms.arib.pria.ee/pms-menetlus/" TargetMode="External"/><Relationship Id="rId78" Type="http://schemas.openxmlformats.org/officeDocument/2006/relationships/hyperlink" Target="https://pms.arib.pria.ee/pms-menetlus/" TargetMode="External"/><Relationship Id="rId81" Type="http://schemas.openxmlformats.org/officeDocument/2006/relationships/hyperlink" Target="https://pms.arib.pria.ee/pms-menetlus/" TargetMode="External"/><Relationship Id="rId86" Type="http://schemas.openxmlformats.org/officeDocument/2006/relationships/hyperlink" Target="https://pms.arib.pria.ee/pms-menetlus/" TargetMode="External"/><Relationship Id="rId94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39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50" Type="http://schemas.openxmlformats.org/officeDocument/2006/relationships/hyperlink" Target="https://pms.arib.pria.ee/pms-menetlus/" TargetMode="External"/><Relationship Id="rId55" Type="http://schemas.openxmlformats.org/officeDocument/2006/relationships/hyperlink" Target="https://pms.arib.pria.ee/pms-menetlus/" TargetMode="External"/><Relationship Id="rId76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71" Type="http://schemas.openxmlformats.org/officeDocument/2006/relationships/hyperlink" Target="https://pms.arib.pria.ee/pms-menetlus/" TargetMode="External"/><Relationship Id="rId92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40" Type="http://schemas.openxmlformats.org/officeDocument/2006/relationships/hyperlink" Target="https://pms.arib.pria.ee/pms-menetlus/" TargetMode="External"/><Relationship Id="rId45" Type="http://schemas.openxmlformats.org/officeDocument/2006/relationships/hyperlink" Target="https://pms.arib.pria.ee/pms-menetlus/" TargetMode="External"/><Relationship Id="rId66" Type="http://schemas.openxmlformats.org/officeDocument/2006/relationships/hyperlink" Target="https://pms.arib.pria.ee/pms-menetlus/" TargetMode="External"/><Relationship Id="rId87" Type="http://schemas.openxmlformats.org/officeDocument/2006/relationships/hyperlink" Target="https://pms.arib.pria.ee/pms-menetlus/" TargetMode="External"/><Relationship Id="rId61" Type="http://schemas.openxmlformats.org/officeDocument/2006/relationships/hyperlink" Target="https://pms.arib.pria.ee/pms-menetlus/" TargetMode="External"/><Relationship Id="rId82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56" Type="http://schemas.openxmlformats.org/officeDocument/2006/relationships/hyperlink" Target="https://pms.arib.pria.ee/pms-menetlus/" TargetMode="External"/><Relationship Id="rId77" Type="http://schemas.openxmlformats.org/officeDocument/2006/relationships/hyperlink" Target="https://pms.arib.pria.ee/pms-menetlus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printerSettings" Target="../printerSettings/printerSettings18.bin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printerSettings" Target="../printerSettings/printerSettings21.bin"/><Relationship Id="rId10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29" Type="http://schemas.openxmlformats.org/officeDocument/2006/relationships/printerSettings" Target="../printerSettings/printerSettings22.bin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42" Type="http://schemas.openxmlformats.org/officeDocument/2006/relationships/hyperlink" Target="https://pms.arib.pria.ee/pms-menetlus/" TargetMode="External"/><Relationship Id="rId47" Type="http://schemas.openxmlformats.org/officeDocument/2006/relationships/hyperlink" Target="https://pms.arib.pria.ee/pms-menetlus/" TargetMode="External"/><Relationship Id="rId63" Type="http://schemas.openxmlformats.org/officeDocument/2006/relationships/hyperlink" Target="https://pms.arib.pria.ee/pms-menetlus/" TargetMode="External"/><Relationship Id="rId68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37" Type="http://schemas.openxmlformats.org/officeDocument/2006/relationships/hyperlink" Target="https://pms.arib.pria.ee/pms-menetlus/" TargetMode="External"/><Relationship Id="rId40" Type="http://schemas.openxmlformats.org/officeDocument/2006/relationships/hyperlink" Target="https://pms.arib.pria.ee/pms-menetlus/" TargetMode="External"/><Relationship Id="rId45" Type="http://schemas.openxmlformats.org/officeDocument/2006/relationships/hyperlink" Target="https://pms.arib.pria.ee/pms-menetlus/" TargetMode="External"/><Relationship Id="rId53" Type="http://schemas.openxmlformats.org/officeDocument/2006/relationships/hyperlink" Target="https://pms.arib.pria.ee/pms-menetlus/" TargetMode="External"/><Relationship Id="rId58" Type="http://schemas.openxmlformats.org/officeDocument/2006/relationships/hyperlink" Target="https://pms.arib.pria.ee/pms-menetlus/" TargetMode="External"/><Relationship Id="rId66" Type="http://schemas.openxmlformats.org/officeDocument/2006/relationships/hyperlink" Target="https://pms.arib.pria.ee/pms-menetlus/" TargetMode="External"/><Relationship Id="rId7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61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43" Type="http://schemas.openxmlformats.org/officeDocument/2006/relationships/hyperlink" Target="https://pms.arib.pria.ee/pms-menetlus/" TargetMode="External"/><Relationship Id="rId48" Type="http://schemas.openxmlformats.org/officeDocument/2006/relationships/hyperlink" Target="https://pms.arib.pria.ee/pms-menetlus/" TargetMode="External"/><Relationship Id="rId56" Type="http://schemas.openxmlformats.org/officeDocument/2006/relationships/hyperlink" Target="https://pms.arib.pria.ee/pms-menetlus/" TargetMode="External"/><Relationship Id="rId64" Type="http://schemas.openxmlformats.org/officeDocument/2006/relationships/hyperlink" Target="https://pms.arib.pria.ee/pms-menetlus/" TargetMode="External"/><Relationship Id="rId69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Relationship Id="rId51" Type="http://schemas.openxmlformats.org/officeDocument/2006/relationships/hyperlink" Target="https://pms.arib.pria.ee/pms-menetlus/" TargetMode="External"/><Relationship Id="rId72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38" Type="http://schemas.openxmlformats.org/officeDocument/2006/relationships/hyperlink" Target="https://pms.arib.pria.ee/pms-menetlus/" TargetMode="External"/><Relationship Id="rId46" Type="http://schemas.openxmlformats.org/officeDocument/2006/relationships/hyperlink" Target="https://pms.arib.pria.ee/pms-menetlus/" TargetMode="External"/><Relationship Id="rId59" Type="http://schemas.openxmlformats.org/officeDocument/2006/relationships/hyperlink" Target="https://pms.arib.pria.ee/pms-menetlus/" TargetMode="External"/><Relationship Id="rId67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41" Type="http://schemas.openxmlformats.org/officeDocument/2006/relationships/hyperlink" Target="https://pms.arib.pria.ee/pms-menetlus/" TargetMode="External"/><Relationship Id="rId54" Type="http://schemas.openxmlformats.org/officeDocument/2006/relationships/hyperlink" Target="https://pms.arib.pria.ee/pms-menetlus/" TargetMode="External"/><Relationship Id="rId62" Type="http://schemas.openxmlformats.org/officeDocument/2006/relationships/hyperlink" Target="https://pms.arib.pria.ee/pms-menetlus/" TargetMode="External"/><Relationship Id="rId70" Type="http://schemas.openxmlformats.org/officeDocument/2006/relationships/hyperlink" Target="https://pms.arib.pria.ee/pms-menetlus/" TargetMode="External"/><Relationship Id="rId75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hyperlink" Target="https://pms.arib.pria.ee/pms-menetlus/" TargetMode="External"/><Relationship Id="rId49" Type="http://schemas.openxmlformats.org/officeDocument/2006/relationships/hyperlink" Target="https://pms.arib.pria.ee/pms-menetlus/" TargetMode="External"/><Relationship Id="rId57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4" Type="http://schemas.openxmlformats.org/officeDocument/2006/relationships/hyperlink" Target="https://pms.arib.pria.ee/pms-menetlus/" TargetMode="External"/><Relationship Id="rId52" Type="http://schemas.openxmlformats.org/officeDocument/2006/relationships/hyperlink" Target="https://pms.arib.pria.ee/pms-menetlus/" TargetMode="External"/><Relationship Id="rId60" Type="http://schemas.openxmlformats.org/officeDocument/2006/relationships/hyperlink" Target="https://pms.arib.pria.ee/pms-menetlus/" TargetMode="External"/><Relationship Id="rId65" Type="http://schemas.openxmlformats.org/officeDocument/2006/relationships/hyperlink" Target="https://pms.arib.pria.ee/pms-menetlus/" TargetMode="External"/><Relationship Id="rId73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39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50" Type="http://schemas.openxmlformats.org/officeDocument/2006/relationships/hyperlink" Target="https://pms.arib.pria.ee/pms-menetlus/" TargetMode="External"/><Relationship Id="rId55" Type="http://schemas.openxmlformats.org/officeDocument/2006/relationships/hyperlink" Target="https://pms.arib.pria.ee/pms-menetlus/" TargetMode="External"/><Relationship Id="rId76" Type="http://schemas.openxmlformats.org/officeDocument/2006/relationships/printerSettings" Target="../printerSettings/printerSettings23.bin"/><Relationship Id="rId7" Type="http://schemas.openxmlformats.org/officeDocument/2006/relationships/hyperlink" Target="https://pms.arib.pria.ee/pms-menetlus/" TargetMode="External"/><Relationship Id="rId71" Type="http://schemas.openxmlformats.org/officeDocument/2006/relationships/hyperlink" Target="https://pms.arib.pria.ee/pms-menetlus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9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42" Type="http://schemas.openxmlformats.org/officeDocument/2006/relationships/hyperlink" Target="https://pms.arib.pria.ee/pms-menetlus/" TargetMode="External"/><Relationship Id="rId47" Type="http://schemas.openxmlformats.org/officeDocument/2006/relationships/hyperlink" Target="https://pms.arib.pria.ee/pms-menetlus/" TargetMode="External"/><Relationship Id="rId50" Type="http://schemas.openxmlformats.org/officeDocument/2006/relationships/hyperlink" Target="https://pms.arib.pria.ee/pms-menetlus/" TargetMode="External"/><Relationship Id="rId55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37" Type="http://schemas.openxmlformats.org/officeDocument/2006/relationships/hyperlink" Target="https://pms.arib.pria.ee/pms-menetlus/" TargetMode="External"/><Relationship Id="rId40" Type="http://schemas.openxmlformats.org/officeDocument/2006/relationships/hyperlink" Target="https://pms.arib.pria.ee/pms-menetlus/" TargetMode="External"/><Relationship Id="rId45" Type="http://schemas.openxmlformats.org/officeDocument/2006/relationships/hyperlink" Target="https://pms.arib.pria.ee/pms-menetlus/" TargetMode="External"/><Relationship Id="rId53" Type="http://schemas.openxmlformats.org/officeDocument/2006/relationships/hyperlink" Target="https://pms.arib.pria.ee/pms-menetlus/" TargetMode="External"/><Relationship Id="rId58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43" Type="http://schemas.openxmlformats.org/officeDocument/2006/relationships/hyperlink" Target="https://pms.arib.pria.ee/pms-menetlus/" TargetMode="External"/><Relationship Id="rId48" Type="http://schemas.openxmlformats.org/officeDocument/2006/relationships/hyperlink" Target="https://pms.arib.pria.ee/pms-menetlus/" TargetMode="External"/><Relationship Id="rId56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Relationship Id="rId51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38" Type="http://schemas.openxmlformats.org/officeDocument/2006/relationships/hyperlink" Target="https://pms.arib.pria.ee/pms-menetlus/" TargetMode="External"/><Relationship Id="rId46" Type="http://schemas.openxmlformats.org/officeDocument/2006/relationships/hyperlink" Target="https://pms.arib.pria.ee/pms-menetlus/" TargetMode="External"/><Relationship Id="rId59" Type="http://schemas.openxmlformats.org/officeDocument/2006/relationships/printerSettings" Target="../printerSettings/printerSettings5.bin"/><Relationship Id="rId20" Type="http://schemas.openxmlformats.org/officeDocument/2006/relationships/hyperlink" Target="https://pms.arib.pria.ee/pms-menetlus/" TargetMode="External"/><Relationship Id="rId41" Type="http://schemas.openxmlformats.org/officeDocument/2006/relationships/hyperlink" Target="https://pms.arib.pria.ee/pms-menetlus/" TargetMode="External"/><Relationship Id="rId54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hyperlink" Target="https://pms.arib.pria.ee/pms-menetlus/" TargetMode="External"/><Relationship Id="rId49" Type="http://schemas.openxmlformats.org/officeDocument/2006/relationships/hyperlink" Target="https://pms.arib.pria.ee/pms-menetlus/" TargetMode="External"/><Relationship Id="rId57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4" Type="http://schemas.openxmlformats.org/officeDocument/2006/relationships/hyperlink" Target="https://pms.arib.pria.ee/pms-menetlus/" TargetMode="External"/><Relationship Id="rId52" Type="http://schemas.openxmlformats.org/officeDocument/2006/relationships/hyperlink" Target="https://pms.arib.pria.ee/pms-menetlus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printerSettings" Target="../printerSettings/printerSettings6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37" Type="http://schemas.openxmlformats.org/officeDocument/2006/relationships/printerSettings" Target="../printerSettings/printerSettings8.bin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6"/>
  <sheetViews>
    <sheetView workbookViewId="0">
      <pane ySplit="2" topLeftCell="A281" activePane="bottomLeft" state="frozen"/>
      <selection pane="bottomLeft" activeCell="A294" sqref="A294:A296"/>
    </sheetView>
  </sheetViews>
  <sheetFormatPr defaultRowHeight="15" x14ac:dyDescent="0.25"/>
  <cols>
    <col min="1" max="1" width="21.140625" bestFit="1" customWidth="1"/>
    <col min="2" max="2" width="59.140625" style="20" customWidth="1"/>
    <col min="3" max="3" width="17.5703125" customWidth="1"/>
    <col min="4" max="4" width="13.140625" bestFit="1" customWidth="1"/>
    <col min="5" max="5" width="19.42578125" customWidth="1"/>
    <col min="6" max="6" width="23.85546875" customWidth="1"/>
    <col min="15" max="15" width="9.140625" customWidth="1"/>
  </cols>
  <sheetData>
    <row r="1" spans="1:6" ht="15.75" x14ac:dyDescent="0.25">
      <c r="A1" s="847" t="s">
        <v>14</v>
      </c>
      <c r="B1" s="848"/>
      <c r="C1" s="848"/>
      <c r="D1" s="848"/>
      <c r="E1" s="849"/>
      <c r="F1" s="408"/>
    </row>
    <row r="2" spans="1:6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  <c r="F2" s="463" t="s">
        <v>577</v>
      </c>
    </row>
    <row r="3" spans="1:6" x14ac:dyDescent="0.25">
      <c r="A3" s="460" t="s">
        <v>38</v>
      </c>
      <c r="B3" s="221" t="s">
        <v>39</v>
      </c>
      <c r="C3" s="461" t="str">
        <f>"619216590405"</f>
        <v>619216590405</v>
      </c>
      <c r="D3" s="462">
        <v>8.8000000000000007</v>
      </c>
      <c r="E3" s="464" t="s">
        <v>419</v>
      </c>
      <c r="F3" s="465"/>
    </row>
    <row r="4" spans="1:6" x14ac:dyDescent="0.25">
      <c r="A4" s="95" t="s">
        <v>38</v>
      </c>
      <c r="B4" s="25" t="s">
        <v>39</v>
      </c>
      <c r="C4" s="5" t="str">
        <f>"619216370392"</f>
        <v>619216370392</v>
      </c>
      <c r="D4" s="13">
        <v>8.18</v>
      </c>
      <c r="E4" s="214" t="s">
        <v>419</v>
      </c>
      <c r="F4" s="466"/>
    </row>
    <row r="5" spans="1:6" x14ac:dyDescent="0.25">
      <c r="A5" s="95" t="s">
        <v>38</v>
      </c>
      <c r="B5" s="25" t="s">
        <v>39</v>
      </c>
      <c r="C5" s="5" t="str">
        <f>"619216590336"</f>
        <v>619216590336</v>
      </c>
      <c r="D5" s="13">
        <v>8.17</v>
      </c>
      <c r="E5" s="218" t="s">
        <v>420</v>
      </c>
      <c r="F5" s="466"/>
    </row>
    <row r="6" spans="1:6" x14ac:dyDescent="0.25">
      <c r="A6" s="95" t="s">
        <v>38</v>
      </c>
      <c r="B6" s="25" t="s">
        <v>39</v>
      </c>
      <c r="C6" s="5" t="str">
        <f>"619216370398"</f>
        <v>619216370398</v>
      </c>
      <c r="D6" s="13">
        <v>7.88</v>
      </c>
      <c r="E6" s="218" t="s">
        <v>420</v>
      </c>
      <c r="F6" s="466"/>
    </row>
    <row r="7" spans="1:6" x14ac:dyDescent="0.25">
      <c r="A7" s="95" t="s">
        <v>38</v>
      </c>
      <c r="B7" s="25" t="s">
        <v>39</v>
      </c>
      <c r="C7" s="5" t="str">
        <f>"619216590345"</f>
        <v>619216590345</v>
      </c>
      <c r="D7" s="13">
        <v>7.82</v>
      </c>
      <c r="E7" s="218" t="s">
        <v>420</v>
      </c>
      <c r="F7" s="466"/>
    </row>
    <row r="8" spans="1:6" x14ac:dyDescent="0.25">
      <c r="A8" s="95" t="s">
        <v>38</v>
      </c>
      <c r="B8" s="25" t="s">
        <v>39</v>
      </c>
      <c r="C8" s="5" t="str">
        <f>"619216590327"</f>
        <v>619216590327</v>
      </c>
      <c r="D8" s="13">
        <v>7.78</v>
      </c>
      <c r="E8" s="218" t="s">
        <v>420</v>
      </c>
      <c r="F8" s="466"/>
    </row>
    <row r="9" spans="1:6" ht="14.25" customHeight="1" x14ac:dyDescent="0.25">
      <c r="A9" s="95" t="s">
        <v>38</v>
      </c>
      <c r="B9" s="25" t="s">
        <v>39</v>
      </c>
      <c r="C9" s="5" t="str">
        <f>"619216590320"</f>
        <v>619216590320</v>
      </c>
      <c r="D9" s="13">
        <v>7.57</v>
      </c>
      <c r="E9" s="218" t="s">
        <v>420</v>
      </c>
      <c r="F9" s="466"/>
    </row>
    <row r="10" spans="1:6" x14ac:dyDescent="0.25">
      <c r="A10" s="95" t="s">
        <v>38</v>
      </c>
      <c r="B10" s="25" t="s">
        <v>39</v>
      </c>
      <c r="C10" s="5" t="str">
        <f>"619216370363"</f>
        <v>619216370363</v>
      </c>
      <c r="D10" s="13">
        <v>7.48</v>
      </c>
      <c r="E10" s="218" t="s">
        <v>420</v>
      </c>
      <c r="F10" s="466"/>
    </row>
    <row r="11" spans="1:6" x14ac:dyDescent="0.25">
      <c r="A11" s="95" t="s">
        <v>38</v>
      </c>
      <c r="B11" s="25" t="s">
        <v>39</v>
      </c>
      <c r="C11" s="5" t="str">
        <f>"619216590348"</f>
        <v>619216590348</v>
      </c>
      <c r="D11" s="13">
        <v>7.12</v>
      </c>
      <c r="E11" s="218" t="s">
        <v>420</v>
      </c>
      <c r="F11" s="466"/>
    </row>
    <row r="12" spans="1:6" x14ac:dyDescent="0.25">
      <c r="A12" s="95" t="s">
        <v>38</v>
      </c>
      <c r="B12" s="25" t="s">
        <v>39</v>
      </c>
      <c r="C12" s="5" t="str">
        <f>"619216370407"</f>
        <v>619216370407</v>
      </c>
      <c r="D12" s="13">
        <v>7.1</v>
      </c>
      <c r="E12" s="218" t="s">
        <v>420</v>
      </c>
      <c r="F12" s="466"/>
    </row>
    <row r="13" spans="1:6" x14ac:dyDescent="0.25">
      <c r="A13" s="95" t="s">
        <v>38</v>
      </c>
      <c r="B13" s="25" t="s">
        <v>39</v>
      </c>
      <c r="C13" s="5" t="str">
        <f>"619216370322"</f>
        <v>619216370322</v>
      </c>
      <c r="D13" s="13">
        <v>6.98</v>
      </c>
      <c r="E13" s="218" t="s">
        <v>420</v>
      </c>
      <c r="F13" s="466"/>
    </row>
    <row r="14" spans="1:6" x14ac:dyDescent="0.25">
      <c r="A14" s="95" t="s">
        <v>38</v>
      </c>
      <c r="B14" s="25" t="s">
        <v>39</v>
      </c>
      <c r="C14" s="5" t="str">
        <f>"619216590388"</f>
        <v>619216590388</v>
      </c>
      <c r="D14" s="13">
        <v>6.95</v>
      </c>
      <c r="E14" s="218" t="s">
        <v>420</v>
      </c>
      <c r="F14" s="466"/>
    </row>
    <row r="15" spans="1:6" x14ac:dyDescent="0.25">
      <c r="A15" s="95" t="s">
        <v>38</v>
      </c>
      <c r="B15" s="25" t="s">
        <v>39</v>
      </c>
      <c r="C15" s="5" t="str">
        <f>"619216590387"</f>
        <v>619216590387</v>
      </c>
      <c r="D15" s="13">
        <v>6.68</v>
      </c>
      <c r="E15" s="218" t="s">
        <v>420</v>
      </c>
      <c r="F15" s="466"/>
    </row>
    <row r="16" spans="1:6" x14ac:dyDescent="0.25">
      <c r="A16" s="95" t="s">
        <v>38</v>
      </c>
      <c r="B16" s="25" t="s">
        <v>39</v>
      </c>
      <c r="C16" s="5" t="str">
        <f>"619216370391"</f>
        <v>619216370391</v>
      </c>
      <c r="D16" s="13">
        <v>6.47</v>
      </c>
      <c r="E16" s="218" t="s">
        <v>420</v>
      </c>
      <c r="F16" s="466"/>
    </row>
    <row r="17" spans="1:6" x14ac:dyDescent="0.25">
      <c r="A17" s="95" t="s">
        <v>38</v>
      </c>
      <c r="B17" s="25" t="s">
        <v>39</v>
      </c>
      <c r="C17" s="5" t="str">
        <f>"619216370390"</f>
        <v>619216370390</v>
      </c>
      <c r="D17" s="13">
        <v>5.9</v>
      </c>
      <c r="E17" s="218" t="s">
        <v>420</v>
      </c>
      <c r="F17" s="466"/>
    </row>
    <row r="18" spans="1:6" ht="15.75" thickBot="1" x14ac:dyDescent="0.3">
      <c r="A18" s="96" t="s">
        <v>38</v>
      </c>
      <c r="B18" s="88" t="s">
        <v>39</v>
      </c>
      <c r="C18" s="44" t="str">
        <f>"619216370359"</f>
        <v>619216370359</v>
      </c>
      <c r="D18" s="158">
        <v>5.0999999999999996</v>
      </c>
      <c r="E18" s="219" t="s">
        <v>420</v>
      </c>
      <c r="F18" s="466"/>
    </row>
    <row r="19" spans="1:6" x14ac:dyDescent="0.25">
      <c r="A19" s="156" t="s">
        <v>38</v>
      </c>
      <c r="B19" s="64" t="s">
        <v>40</v>
      </c>
      <c r="C19" s="48" t="str">
        <f>"619216590404"</f>
        <v>619216590404</v>
      </c>
      <c r="D19" s="157">
        <v>8</v>
      </c>
      <c r="E19" s="213" t="s">
        <v>419</v>
      </c>
      <c r="F19" s="466"/>
    </row>
    <row r="20" spans="1:6" x14ac:dyDescent="0.25">
      <c r="A20" s="95" t="s">
        <v>38</v>
      </c>
      <c r="B20" s="25" t="s">
        <v>40</v>
      </c>
      <c r="C20" s="5" t="str">
        <f>"619216590401"</f>
        <v>619216590401</v>
      </c>
      <c r="D20" s="13">
        <v>7.8</v>
      </c>
      <c r="E20" s="214" t="s">
        <v>419</v>
      </c>
      <c r="F20" s="466"/>
    </row>
    <row r="21" spans="1:6" x14ac:dyDescent="0.25">
      <c r="A21" s="95" t="s">
        <v>38</v>
      </c>
      <c r="B21" s="25" t="s">
        <v>40</v>
      </c>
      <c r="C21" s="5" t="str">
        <f>"619216370396"</f>
        <v>619216370396</v>
      </c>
      <c r="D21" s="13">
        <v>7.5</v>
      </c>
      <c r="E21" s="214" t="s">
        <v>419</v>
      </c>
      <c r="F21" s="466"/>
    </row>
    <row r="22" spans="1:6" x14ac:dyDescent="0.25">
      <c r="A22" s="95" t="s">
        <v>38</v>
      </c>
      <c r="B22" s="25" t="s">
        <v>40</v>
      </c>
      <c r="C22" s="5" t="str">
        <f>"619216590385"</f>
        <v>619216590385</v>
      </c>
      <c r="D22" s="13">
        <v>7</v>
      </c>
      <c r="E22" s="214" t="s">
        <v>419</v>
      </c>
      <c r="F22" s="466"/>
    </row>
    <row r="23" spans="1:6" x14ac:dyDescent="0.25">
      <c r="A23" s="95" t="s">
        <v>38</v>
      </c>
      <c r="B23" s="25" t="s">
        <v>40</v>
      </c>
      <c r="C23" s="5" t="str">
        <f>"619216370389"</f>
        <v>619216370389</v>
      </c>
      <c r="D23" s="13">
        <v>6.9</v>
      </c>
      <c r="E23" s="214" t="s">
        <v>419</v>
      </c>
      <c r="F23" s="466"/>
    </row>
    <row r="24" spans="1:6" x14ac:dyDescent="0.25">
      <c r="A24" s="95" t="s">
        <v>38</v>
      </c>
      <c r="B24" s="25" t="s">
        <v>40</v>
      </c>
      <c r="C24" s="5" t="str">
        <f>"619216590397"</f>
        <v>619216590397</v>
      </c>
      <c r="D24" s="13">
        <v>6.8</v>
      </c>
      <c r="E24" s="214" t="s">
        <v>419</v>
      </c>
      <c r="F24" s="466"/>
    </row>
    <row r="25" spans="1:6" x14ac:dyDescent="0.25">
      <c r="A25" s="95" t="s">
        <v>38</v>
      </c>
      <c r="B25" s="25" t="s">
        <v>40</v>
      </c>
      <c r="C25" s="5" t="str">
        <f>"619216370323"</f>
        <v>619216370323</v>
      </c>
      <c r="D25" s="13">
        <v>6.6</v>
      </c>
      <c r="E25" s="214" t="s">
        <v>419</v>
      </c>
      <c r="F25" s="466"/>
    </row>
    <row r="26" spans="1:6" x14ac:dyDescent="0.25">
      <c r="A26" s="95" t="s">
        <v>38</v>
      </c>
      <c r="B26" s="25" t="s">
        <v>40</v>
      </c>
      <c r="C26" s="5" t="str">
        <f>"619216370399"</f>
        <v>619216370399</v>
      </c>
      <c r="D26" s="13">
        <v>6.6</v>
      </c>
      <c r="E26" s="214" t="s">
        <v>419</v>
      </c>
      <c r="F26" s="466"/>
    </row>
    <row r="27" spans="1:6" x14ac:dyDescent="0.25">
      <c r="A27" s="95" t="s">
        <v>38</v>
      </c>
      <c r="B27" s="25" t="s">
        <v>40</v>
      </c>
      <c r="C27" s="5" t="str">
        <f>"619216590343"</f>
        <v>619216590343</v>
      </c>
      <c r="D27" s="13">
        <v>6.3</v>
      </c>
      <c r="E27" s="214" t="s">
        <v>419</v>
      </c>
      <c r="F27" s="466"/>
    </row>
    <row r="28" spans="1:6" ht="15.75" thickBot="1" x14ac:dyDescent="0.3">
      <c r="A28" s="96" t="s">
        <v>38</v>
      </c>
      <c r="B28" s="88" t="s">
        <v>40</v>
      </c>
      <c r="C28" s="44" t="str">
        <f>"619216370350"</f>
        <v>619216370350</v>
      </c>
      <c r="D28" s="158">
        <v>5.8</v>
      </c>
      <c r="E28" s="215" t="s">
        <v>419</v>
      </c>
      <c r="F28" s="466"/>
    </row>
    <row r="29" spans="1:6" x14ac:dyDescent="0.25">
      <c r="A29" s="156" t="s">
        <v>38</v>
      </c>
      <c r="B29" s="99" t="s">
        <v>41</v>
      </c>
      <c r="C29" s="48" t="str">
        <f>"619216590409"</f>
        <v>619216590409</v>
      </c>
      <c r="D29" s="157">
        <v>8.6</v>
      </c>
      <c r="E29" s="213" t="s">
        <v>419</v>
      </c>
      <c r="F29" s="466"/>
    </row>
    <row r="30" spans="1:6" x14ac:dyDescent="0.25">
      <c r="A30" s="95" t="s">
        <v>38</v>
      </c>
      <c r="B30" s="29" t="s">
        <v>41</v>
      </c>
      <c r="C30" s="5" t="str">
        <f>"619216590325"</f>
        <v>619216590325</v>
      </c>
      <c r="D30" s="13">
        <v>7.1</v>
      </c>
      <c r="E30" s="214" t="s">
        <v>419</v>
      </c>
      <c r="F30" s="466"/>
    </row>
    <row r="31" spans="1:6" x14ac:dyDescent="0.25">
      <c r="A31" s="95" t="s">
        <v>38</v>
      </c>
      <c r="B31" s="29" t="s">
        <v>41</v>
      </c>
      <c r="C31" s="5" t="str">
        <f>"619216370394"</f>
        <v>619216370394</v>
      </c>
      <c r="D31" s="13">
        <v>6.7</v>
      </c>
      <c r="E31" s="214" t="s">
        <v>419</v>
      </c>
      <c r="F31" s="466"/>
    </row>
    <row r="32" spans="1:6" x14ac:dyDescent="0.25">
      <c r="A32" s="95" t="s">
        <v>38</v>
      </c>
      <c r="B32" s="29" t="s">
        <v>41</v>
      </c>
      <c r="C32" s="5" t="str">
        <f>"619216590339"</f>
        <v>619216590339</v>
      </c>
      <c r="D32" s="13">
        <v>5.8</v>
      </c>
      <c r="E32" s="214" t="s">
        <v>419</v>
      </c>
      <c r="F32" s="466"/>
    </row>
    <row r="33" spans="1:6" x14ac:dyDescent="0.25">
      <c r="A33" s="95" t="s">
        <v>38</v>
      </c>
      <c r="B33" s="29" t="s">
        <v>41</v>
      </c>
      <c r="C33" s="5" t="str">
        <f>"619216370395"</f>
        <v>619216370395</v>
      </c>
      <c r="D33" s="13">
        <v>5.7</v>
      </c>
      <c r="E33" s="218" t="s">
        <v>420</v>
      </c>
      <c r="F33" s="466"/>
    </row>
    <row r="34" spans="1:6" ht="15.75" thickBot="1" x14ac:dyDescent="0.3">
      <c r="A34" s="96" t="s">
        <v>38</v>
      </c>
      <c r="B34" s="100" t="s">
        <v>41</v>
      </c>
      <c r="C34" s="44" t="str">
        <f>"619216370361"</f>
        <v>619216370361</v>
      </c>
      <c r="D34" s="158">
        <v>5.3</v>
      </c>
      <c r="E34" s="219" t="s">
        <v>420</v>
      </c>
      <c r="F34" s="466"/>
    </row>
    <row r="35" spans="1:6" x14ac:dyDescent="0.25">
      <c r="A35" s="156" t="s">
        <v>38</v>
      </c>
      <c r="B35" s="99" t="s">
        <v>42</v>
      </c>
      <c r="C35" s="48" t="str">
        <f>"619216590324"</f>
        <v>619216590324</v>
      </c>
      <c r="D35" s="157">
        <v>8.6999999999999993</v>
      </c>
      <c r="E35" s="213" t="s">
        <v>419</v>
      </c>
      <c r="F35" s="466"/>
    </row>
    <row r="36" spans="1:6" x14ac:dyDescent="0.25">
      <c r="A36" s="95" t="s">
        <v>38</v>
      </c>
      <c r="B36" s="29" t="s">
        <v>42</v>
      </c>
      <c r="C36" s="5" t="str">
        <f>"619216370321"</f>
        <v>619216370321</v>
      </c>
      <c r="D36" s="13">
        <v>7.9</v>
      </c>
      <c r="E36" s="214" t="s">
        <v>419</v>
      </c>
      <c r="F36" s="466"/>
    </row>
    <row r="37" spans="1:6" x14ac:dyDescent="0.25">
      <c r="A37" s="95" t="s">
        <v>38</v>
      </c>
      <c r="B37" s="29" t="s">
        <v>42</v>
      </c>
      <c r="C37" s="5" t="str">
        <f>"619216590401"</f>
        <v>619216590401</v>
      </c>
      <c r="D37" s="13">
        <v>7.9</v>
      </c>
      <c r="E37" s="214" t="s">
        <v>419</v>
      </c>
      <c r="F37" s="466"/>
    </row>
    <row r="38" spans="1:6" x14ac:dyDescent="0.25">
      <c r="A38" s="95" t="s">
        <v>38</v>
      </c>
      <c r="B38" s="29" t="s">
        <v>42</v>
      </c>
      <c r="C38" s="5" t="str">
        <f>"619216590400"</f>
        <v>619216590400</v>
      </c>
      <c r="D38" s="13">
        <v>7.8</v>
      </c>
      <c r="E38" s="214" t="s">
        <v>419</v>
      </c>
      <c r="F38" s="466"/>
    </row>
    <row r="39" spans="1:6" x14ac:dyDescent="0.25">
      <c r="A39" s="95" t="s">
        <v>38</v>
      </c>
      <c r="B39" s="29" t="s">
        <v>42</v>
      </c>
      <c r="C39" s="5" t="str">
        <f>"619216590340"</f>
        <v>619216590340</v>
      </c>
      <c r="D39" s="13">
        <v>7.6</v>
      </c>
      <c r="E39" s="214" t="s">
        <v>419</v>
      </c>
      <c r="F39" s="466"/>
    </row>
    <row r="40" spans="1:6" x14ac:dyDescent="0.25">
      <c r="A40" s="95" t="s">
        <v>38</v>
      </c>
      <c r="B40" s="29" t="s">
        <v>42</v>
      </c>
      <c r="C40" s="5" t="str">
        <f>"619216370410"</f>
        <v>619216370410</v>
      </c>
      <c r="D40" s="13">
        <v>7.3</v>
      </c>
      <c r="E40" s="214" t="s">
        <v>419</v>
      </c>
      <c r="F40" s="466"/>
    </row>
    <row r="41" spans="1:6" x14ac:dyDescent="0.25">
      <c r="A41" s="95" t="s">
        <v>38</v>
      </c>
      <c r="B41" s="29" t="s">
        <v>42</v>
      </c>
      <c r="C41" s="5" t="str">
        <f>"619216510355"</f>
        <v>619216510355</v>
      </c>
      <c r="D41" s="13">
        <v>7.2</v>
      </c>
      <c r="E41" s="214" t="s">
        <v>419</v>
      </c>
      <c r="F41" s="466"/>
    </row>
    <row r="42" spans="1:6" x14ac:dyDescent="0.25">
      <c r="A42" s="95" t="s">
        <v>38</v>
      </c>
      <c r="B42" s="29" t="s">
        <v>42</v>
      </c>
      <c r="C42" s="5" t="str">
        <f>"619216590357"</f>
        <v>619216590357</v>
      </c>
      <c r="D42" s="13">
        <v>7.1</v>
      </c>
      <c r="E42" s="214" t="s">
        <v>419</v>
      </c>
      <c r="F42" s="466"/>
    </row>
    <row r="43" spans="1:6" ht="15.75" thickBot="1" x14ac:dyDescent="0.3">
      <c r="A43" s="235" t="s">
        <v>38</v>
      </c>
      <c r="B43" s="236" t="s">
        <v>42</v>
      </c>
      <c r="C43" s="106" t="str">
        <f>"619216590393"</f>
        <v>619216590393</v>
      </c>
      <c r="D43" s="237">
        <v>6.8</v>
      </c>
      <c r="E43" s="216" t="s">
        <v>419</v>
      </c>
      <c r="F43" s="466"/>
    </row>
    <row r="44" spans="1:6" x14ac:dyDescent="0.25">
      <c r="A44" s="239" t="s">
        <v>504</v>
      </c>
      <c r="B44" s="99" t="s">
        <v>505</v>
      </c>
      <c r="C44" s="127">
        <v>619216591465</v>
      </c>
      <c r="D44" s="240">
        <v>8.01</v>
      </c>
      <c r="E44" s="213" t="s">
        <v>419</v>
      </c>
      <c r="F44" s="466"/>
    </row>
    <row r="45" spans="1:6" x14ac:dyDescent="0.25">
      <c r="A45" s="241" t="s">
        <v>504</v>
      </c>
      <c r="B45" s="29" t="s">
        <v>505</v>
      </c>
      <c r="C45" s="16">
        <v>619216591466</v>
      </c>
      <c r="D45" s="238">
        <v>7.78</v>
      </c>
      <c r="E45" s="214" t="s">
        <v>419</v>
      </c>
      <c r="F45" s="466"/>
    </row>
    <row r="46" spans="1:6" x14ac:dyDescent="0.25">
      <c r="A46" s="273" t="s">
        <v>504</v>
      </c>
      <c r="B46" s="29" t="s">
        <v>505</v>
      </c>
      <c r="C46" s="16">
        <v>619216591464</v>
      </c>
      <c r="D46" s="238">
        <v>7.7</v>
      </c>
      <c r="E46" s="214" t="s">
        <v>419</v>
      </c>
      <c r="F46" s="466"/>
    </row>
    <row r="47" spans="1:6" x14ac:dyDescent="0.25">
      <c r="A47" s="272" t="s">
        <v>504</v>
      </c>
      <c r="B47" s="29" t="s">
        <v>505</v>
      </c>
      <c r="C47" s="312">
        <v>619216371482</v>
      </c>
      <c r="D47" s="238">
        <v>6.71</v>
      </c>
      <c r="E47" s="218" t="s">
        <v>420</v>
      </c>
      <c r="F47" s="466"/>
    </row>
    <row r="48" spans="1:6" ht="15.75" thickBot="1" x14ac:dyDescent="0.3">
      <c r="A48" s="242" t="s">
        <v>504</v>
      </c>
      <c r="B48" s="100" t="s">
        <v>505</v>
      </c>
      <c r="C48" s="129" t="str">
        <f>"619216371467"</f>
        <v>619216371467</v>
      </c>
      <c r="D48" s="243">
        <v>6.16</v>
      </c>
      <c r="E48" s="219" t="s">
        <v>420</v>
      </c>
      <c r="F48" s="466"/>
    </row>
    <row r="49" spans="1:6" x14ac:dyDescent="0.25">
      <c r="A49" s="275" t="s">
        <v>504</v>
      </c>
      <c r="B49" s="276" t="s">
        <v>614</v>
      </c>
      <c r="C49" s="127">
        <v>619216591474</v>
      </c>
      <c r="D49" s="38">
        <v>8.94</v>
      </c>
      <c r="E49" s="213" t="s">
        <v>419</v>
      </c>
      <c r="F49" s="466"/>
    </row>
    <row r="50" spans="1:6" x14ac:dyDescent="0.25">
      <c r="A50" s="26" t="s">
        <v>504</v>
      </c>
      <c r="B50" s="274" t="s">
        <v>614</v>
      </c>
      <c r="C50" s="16">
        <v>619216591476</v>
      </c>
      <c r="D50" s="9">
        <v>8.43</v>
      </c>
      <c r="E50" s="214" t="s">
        <v>419</v>
      </c>
      <c r="F50" s="466"/>
    </row>
    <row r="51" spans="1:6" x14ac:dyDescent="0.25">
      <c r="A51" s="26" t="s">
        <v>504</v>
      </c>
      <c r="B51" s="274" t="s">
        <v>614</v>
      </c>
      <c r="C51" s="16">
        <v>619216591470</v>
      </c>
      <c r="D51" s="13">
        <v>8.07</v>
      </c>
      <c r="E51" s="214" t="s">
        <v>419</v>
      </c>
      <c r="F51" s="466"/>
    </row>
    <row r="52" spans="1:6" x14ac:dyDescent="0.25">
      <c r="A52" s="26" t="s">
        <v>504</v>
      </c>
      <c r="B52" s="274" t="s">
        <v>614</v>
      </c>
      <c r="C52" s="16">
        <v>619216371475</v>
      </c>
      <c r="D52" s="9">
        <v>8.01</v>
      </c>
      <c r="E52" s="214" t="s">
        <v>419</v>
      </c>
      <c r="F52" s="466"/>
    </row>
    <row r="53" spans="1:6" x14ac:dyDescent="0.25">
      <c r="A53" s="26" t="s">
        <v>504</v>
      </c>
      <c r="B53" s="274" t="s">
        <v>614</v>
      </c>
      <c r="C53" s="16">
        <v>619216591478</v>
      </c>
      <c r="D53" s="9">
        <v>7.84</v>
      </c>
      <c r="E53" s="214" t="s">
        <v>419</v>
      </c>
      <c r="F53" s="466"/>
    </row>
    <row r="54" spans="1:6" x14ac:dyDescent="0.25">
      <c r="A54" s="26" t="s">
        <v>504</v>
      </c>
      <c r="B54" s="274" t="s">
        <v>614</v>
      </c>
      <c r="C54" s="16">
        <v>619216371477</v>
      </c>
      <c r="D54" s="9">
        <v>7.18</v>
      </c>
      <c r="E54" s="214" t="s">
        <v>419</v>
      </c>
      <c r="F54" s="466"/>
    </row>
    <row r="55" spans="1:6" x14ac:dyDescent="0.25">
      <c r="A55" s="26" t="s">
        <v>504</v>
      </c>
      <c r="B55" s="274" t="s">
        <v>614</v>
      </c>
      <c r="C55" s="16">
        <v>619216591472</v>
      </c>
      <c r="D55" s="9">
        <v>6.91</v>
      </c>
      <c r="E55" s="214" t="s">
        <v>419</v>
      </c>
      <c r="F55" s="466"/>
    </row>
    <row r="56" spans="1:6" x14ac:dyDescent="0.25">
      <c r="A56" s="26" t="s">
        <v>504</v>
      </c>
      <c r="B56" s="274" t="s">
        <v>614</v>
      </c>
      <c r="C56" s="16">
        <v>619216591473</v>
      </c>
      <c r="D56" s="9">
        <v>6.9</v>
      </c>
      <c r="E56" s="214" t="s">
        <v>419</v>
      </c>
      <c r="F56" s="466"/>
    </row>
    <row r="57" spans="1:6" ht="15.75" thickBot="1" x14ac:dyDescent="0.3">
      <c r="A57" s="375" t="s">
        <v>504</v>
      </c>
      <c r="B57" s="467" t="s">
        <v>614</v>
      </c>
      <c r="C57" s="162">
        <v>619216591471</v>
      </c>
      <c r="D57" s="292">
        <v>6.34</v>
      </c>
      <c r="E57" s="216" t="s">
        <v>419</v>
      </c>
      <c r="F57" s="466"/>
    </row>
    <row r="58" spans="1:6" x14ac:dyDescent="0.25">
      <c r="A58" s="468" t="s">
        <v>749</v>
      </c>
      <c r="B58" s="48" t="s">
        <v>505</v>
      </c>
      <c r="C58" s="48" t="str">
        <f>"619217592098"</f>
        <v>619217592098</v>
      </c>
      <c r="D58" s="49">
        <v>7.83</v>
      </c>
      <c r="E58" s="228" t="s">
        <v>419</v>
      </c>
      <c r="F58" s="284" t="s">
        <v>578</v>
      </c>
    </row>
    <row r="59" spans="1:6" x14ac:dyDescent="0.25">
      <c r="A59" s="469" t="s">
        <v>749</v>
      </c>
      <c r="B59" s="5" t="s">
        <v>505</v>
      </c>
      <c r="C59" s="5" t="str">
        <f>"619217372097"</f>
        <v>619217372097</v>
      </c>
      <c r="D59" s="2">
        <v>7.73</v>
      </c>
      <c r="E59" s="225" t="s">
        <v>419</v>
      </c>
      <c r="F59" s="285" t="s">
        <v>579</v>
      </c>
    </row>
    <row r="60" spans="1:6" x14ac:dyDescent="0.25">
      <c r="A60" s="469" t="s">
        <v>749</v>
      </c>
      <c r="B60" s="5" t="s">
        <v>505</v>
      </c>
      <c r="C60" s="5" t="str">
        <f>"619217592107"</f>
        <v>619217592107</v>
      </c>
      <c r="D60" s="2">
        <v>7.33</v>
      </c>
      <c r="E60" s="225" t="s">
        <v>419</v>
      </c>
      <c r="F60" s="285" t="s">
        <v>580</v>
      </c>
    </row>
    <row r="61" spans="1:6" x14ac:dyDescent="0.25">
      <c r="A61" s="469" t="s">
        <v>749</v>
      </c>
      <c r="B61" s="5" t="s">
        <v>505</v>
      </c>
      <c r="C61" s="5" t="str">
        <f>"619217372091"</f>
        <v>619217372091</v>
      </c>
      <c r="D61" s="2">
        <v>7.13</v>
      </c>
      <c r="E61" s="225" t="s">
        <v>419</v>
      </c>
      <c r="F61" s="285" t="s">
        <v>581</v>
      </c>
    </row>
    <row r="62" spans="1:6" x14ac:dyDescent="0.25">
      <c r="A62" s="469" t="s">
        <v>749</v>
      </c>
      <c r="B62" s="5" t="s">
        <v>505</v>
      </c>
      <c r="C62" s="5" t="str">
        <f>"619217372102"</f>
        <v>619217372102</v>
      </c>
      <c r="D62" s="2">
        <v>7.07</v>
      </c>
      <c r="E62" s="225" t="s">
        <v>419</v>
      </c>
      <c r="F62" s="285" t="s">
        <v>582</v>
      </c>
    </row>
    <row r="63" spans="1:6" x14ac:dyDescent="0.25">
      <c r="A63" s="469" t="s">
        <v>749</v>
      </c>
      <c r="B63" s="5" t="s">
        <v>505</v>
      </c>
      <c r="C63" s="5" t="str">
        <f>"619217372092"</f>
        <v>619217372092</v>
      </c>
      <c r="D63" s="2">
        <v>6.94</v>
      </c>
      <c r="E63" s="225" t="s">
        <v>419</v>
      </c>
      <c r="F63" s="285" t="s">
        <v>583</v>
      </c>
    </row>
    <row r="64" spans="1:6" x14ac:dyDescent="0.25">
      <c r="A64" s="469" t="s">
        <v>749</v>
      </c>
      <c r="B64" s="5" t="s">
        <v>505</v>
      </c>
      <c r="C64" s="5" t="str">
        <f>"619217372099"</f>
        <v>619217372099</v>
      </c>
      <c r="D64" s="26">
        <v>6.34</v>
      </c>
      <c r="E64" s="226" t="s">
        <v>420</v>
      </c>
      <c r="F64" s="285" t="s">
        <v>584</v>
      </c>
    </row>
    <row r="65" spans="1:6" ht="15.75" thickBot="1" x14ac:dyDescent="0.3">
      <c r="A65" s="470" t="s">
        <v>749</v>
      </c>
      <c r="B65" s="44" t="s">
        <v>505</v>
      </c>
      <c r="C65" s="44" t="str">
        <f>"619217372082"</f>
        <v>619217372082</v>
      </c>
      <c r="D65" s="222">
        <v>6.29</v>
      </c>
      <c r="E65" s="234" t="s">
        <v>420</v>
      </c>
      <c r="F65" s="286" t="s">
        <v>585</v>
      </c>
    </row>
    <row r="66" spans="1:6" x14ac:dyDescent="0.25">
      <c r="A66" s="468" t="s">
        <v>749</v>
      </c>
      <c r="B66" s="363" t="s">
        <v>614</v>
      </c>
      <c r="C66" s="48" t="str">
        <f>"619217592089"</f>
        <v>619217592089</v>
      </c>
      <c r="D66" s="49">
        <v>8.1199999999999992</v>
      </c>
      <c r="E66" s="228" t="s">
        <v>419</v>
      </c>
      <c r="F66" s="284" t="s">
        <v>578</v>
      </c>
    </row>
    <row r="67" spans="1:6" x14ac:dyDescent="0.25">
      <c r="A67" s="469" t="s">
        <v>749</v>
      </c>
      <c r="B67" s="343" t="s">
        <v>614</v>
      </c>
      <c r="C67" s="5" t="str">
        <f>"619217372103"</f>
        <v>619217372103</v>
      </c>
      <c r="D67" s="2">
        <v>8</v>
      </c>
      <c r="E67" s="225" t="s">
        <v>419</v>
      </c>
      <c r="F67" s="285" t="s">
        <v>579</v>
      </c>
    </row>
    <row r="68" spans="1:6" x14ac:dyDescent="0.25">
      <c r="A68" s="469" t="s">
        <v>749</v>
      </c>
      <c r="B68" s="343" t="s">
        <v>614</v>
      </c>
      <c r="C68" s="5" t="str">
        <f>"619217372081"</f>
        <v>619217372081</v>
      </c>
      <c r="D68" s="2">
        <v>7.79</v>
      </c>
      <c r="E68" s="225" t="s">
        <v>419</v>
      </c>
      <c r="F68" s="285" t="s">
        <v>580</v>
      </c>
    </row>
    <row r="69" spans="1:6" x14ac:dyDescent="0.25">
      <c r="A69" s="469" t="s">
        <v>749</v>
      </c>
      <c r="B69" s="343" t="s">
        <v>614</v>
      </c>
      <c r="C69" s="5" t="str">
        <f>"619217372088"</f>
        <v>619217372088</v>
      </c>
      <c r="D69" s="2">
        <v>7.72</v>
      </c>
      <c r="E69" s="225" t="s">
        <v>419</v>
      </c>
      <c r="F69" s="285" t="s">
        <v>581</v>
      </c>
    </row>
    <row r="70" spans="1:6" x14ac:dyDescent="0.25">
      <c r="A70" s="469" t="s">
        <v>749</v>
      </c>
      <c r="B70" s="343" t="s">
        <v>614</v>
      </c>
      <c r="C70" s="5" t="str">
        <f>"619217592090"</f>
        <v>619217592090</v>
      </c>
      <c r="D70" s="2">
        <v>7.27</v>
      </c>
      <c r="E70" s="225" t="s">
        <v>419</v>
      </c>
      <c r="F70" s="285" t="s">
        <v>582</v>
      </c>
    </row>
    <row r="71" spans="1:6" x14ac:dyDescent="0.25">
      <c r="A71" s="469" t="s">
        <v>749</v>
      </c>
      <c r="B71" s="343" t="s">
        <v>614</v>
      </c>
      <c r="C71" s="5" t="str">
        <f>"619217372096"</f>
        <v>619217372096</v>
      </c>
      <c r="D71" s="2">
        <v>7.26</v>
      </c>
      <c r="E71" s="225" t="s">
        <v>419</v>
      </c>
      <c r="F71" s="285" t="s">
        <v>583</v>
      </c>
    </row>
    <row r="72" spans="1:6" x14ac:dyDescent="0.25">
      <c r="A72" s="469" t="s">
        <v>749</v>
      </c>
      <c r="B72" s="343" t="s">
        <v>614</v>
      </c>
      <c r="C72" s="5" t="str">
        <f>"619217592087"</f>
        <v>619217592087</v>
      </c>
      <c r="D72" s="2">
        <v>7.19</v>
      </c>
      <c r="E72" s="225" t="s">
        <v>419</v>
      </c>
      <c r="F72" s="285" t="s">
        <v>584</v>
      </c>
    </row>
    <row r="73" spans="1:6" x14ac:dyDescent="0.25">
      <c r="A73" s="469" t="s">
        <v>749</v>
      </c>
      <c r="B73" s="343" t="s">
        <v>614</v>
      </c>
      <c r="C73" s="5" t="str">
        <f>"619217592104"</f>
        <v>619217592104</v>
      </c>
      <c r="D73" s="2">
        <v>7.09</v>
      </c>
      <c r="E73" s="225" t="s">
        <v>419</v>
      </c>
      <c r="F73" s="285" t="s">
        <v>585</v>
      </c>
    </row>
    <row r="74" spans="1:6" x14ac:dyDescent="0.25">
      <c r="A74" s="469" t="s">
        <v>749</v>
      </c>
      <c r="B74" s="343" t="s">
        <v>614</v>
      </c>
      <c r="C74" s="5" t="str">
        <f>"619217372085"</f>
        <v>619217372085</v>
      </c>
      <c r="D74" s="2">
        <v>6.93</v>
      </c>
      <c r="E74" s="225" t="s">
        <v>419</v>
      </c>
      <c r="F74" s="285" t="s">
        <v>586</v>
      </c>
    </row>
    <row r="75" spans="1:6" x14ac:dyDescent="0.25">
      <c r="A75" s="469" t="s">
        <v>749</v>
      </c>
      <c r="B75" s="343" t="s">
        <v>614</v>
      </c>
      <c r="C75" s="5" t="str">
        <f>"619217592101"</f>
        <v>619217592101</v>
      </c>
      <c r="D75" s="2">
        <v>6.92</v>
      </c>
      <c r="E75" s="225" t="s">
        <v>419</v>
      </c>
      <c r="F75" s="285" t="s">
        <v>587</v>
      </c>
    </row>
    <row r="76" spans="1:6" x14ac:dyDescent="0.25">
      <c r="A76" s="469" t="s">
        <v>749</v>
      </c>
      <c r="B76" s="343" t="s">
        <v>614</v>
      </c>
      <c r="C76" s="5" t="str">
        <f>"619217372094"</f>
        <v>619217372094</v>
      </c>
      <c r="D76" s="2">
        <v>6.91</v>
      </c>
      <c r="E76" s="225" t="s">
        <v>419</v>
      </c>
      <c r="F76" s="285" t="s">
        <v>588</v>
      </c>
    </row>
    <row r="77" spans="1:6" ht="15.75" thickBot="1" x14ac:dyDescent="0.3">
      <c r="A77" s="470" t="s">
        <v>749</v>
      </c>
      <c r="B77" s="351" t="s">
        <v>614</v>
      </c>
      <c r="C77" s="44" t="str">
        <f>"619217592105"</f>
        <v>619217592105</v>
      </c>
      <c r="D77" s="51">
        <v>6.9</v>
      </c>
      <c r="E77" s="260" t="s">
        <v>419</v>
      </c>
      <c r="F77" s="286" t="s">
        <v>589</v>
      </c>
    </row>
    <row r="78" spans="1:6" x14ac:dyDescent="0.25">
      <c r="A78" s="156" t="s">
        <v>750</v>
      </c>
      <c r="B78" s="363" t="s">
        <v>614</v>
      </c>
      <c r="C78" s="48" t="str">
        <f>"619217592100"</f>
        <v>619217592100</v>
      </c>
      <c r="D78" s="49">
        <v>6.85</v>
      </c>
      <c r="E78" s="369" t="s">
        <v>420</v>
      </c>
      <c r="F78" s="284" t="s">
        <v>590</v>
      </c>
    </row>
    <row r="79" spans="1:6" x14ac:dyDescent="0.25">
      <c r="A79" s="95" t="s">
        <v>750</v>
      </c>
      <c r="B79" s="343" t="s">
        <v>614</v>
      </c>
      <c r="C79" s="5" t="str">
        <f>"619217592084"</f>
        <v>619217592084</v>
      </c>
      <c r="D79" s="2">
        <v>6.84</v>
      </c>
      <c r="E79" s="226" t="s">
        <v>420</v>
      </c>
      <c r="F79" s="285" t="s">
        <v>591</v>
      </c>
    </row>
    <row r="80" spans="1:6" x14ac:dyDescent="0.25">
      <c r="A80" s="241" t="s">
        <v>750</v>
      </c>
      <c r="B80" s="343" t="s">
        <v>614</v>
      </c>
      <c r="C80" s="5" t="str">
        <f>"619217372086"</f>
        <v>619217372086</v>
      </c>
      <c r="D80" s="2">
        <v>6.73</v>
      </c>
      <c r="E80" s="226" t="s">
        <v>420</v>
      </c>
      <c r="F80" s="285" t="s">
        <v>592</v>
      </c>
    </row>
    <row r="81" spans="1:7" x14ac:dyDescent="0.25">
      <c r="A81" s="95" t="s">
        <v>750</v>
      </c>
      <c r="B81" s="343" t="s">
        <v>614</v>
      </c>
      <c r="C81" s="5" t="str">
        <f>"619217592095"</f>
        <v>619217592095</v>
      </c>
      <c r="D81" s="2">
        <v>6.28</v>
      </c>
      <c r="E81" s="226" t="s">
        <v>420</v>
      </c>
      <c r="F81" s="285" t="s">
        <v>593</v>
      </c>
    </row>
    <row r="82" spans="1:7" x14ac:dyDescent="0.25">
      <c r="A82" s="95" t="s">
        <v>750</v>
      </c>
      <c r="B82" s="343" t="s">
        <v>614</v>
      </c>
      <c r="C82" s="5" t="str">
        <f>"619217592093"</f>
        <v>619217592093</v>
      </c>
      <c r="D82" s="2">
        <v>6</v>
      </c>
      <c r="E82" s="226" t="s">
        <v>420</v>
      </c>
      <c r="F82" s="285" t="s">
        <v>594</v>
      </c>
    </row>
    <row r="83" spans="1:7" x14ac:dyDescent="0.25">
      <c r="A83" s="95" t="s">
        <v>750</v>
      </c>
      <c r="B83" s="343" t="s">
        <v>614</v>
      </c>
      <c r="C83" s="5" t="str">
        <f>"619217592108"</f>
        <v>619217592108</v>
      </c>
      <c r="D83" s="2">
        <v>5.78</v>
      </c>
      <c r="E83" s="226" t="s">
        <v>420</v>
      </c>
      <c r="F83" s="285" t="s">
        <v>595</v>
      </c>
    </row>
    <row r="84" spans="1:7" x14ac:dyDescent="0.25">
      <c r="A84" s="95" t="s">
        <v>750</v>
      </c>
      <c r="B84" s="343" t="s">
        <v>614</v>
      </c>
      <c r="C84" s="5" t="str">
        <f>"619217782083"</f>
        <v>619217782083</v>
      </c>
      <c r="D84" s="2">
        <v>5.63</v>
      </c>
      <c r="E84" s="226" t="s">
        <v>420</v>
      </c>
      <c r="F84" s="285" t="s">
        <v>596</v>
      </c>
    </row>
    <row r="85" spans="1:7" ht="15.75" thickBot="1" x14ac:dyDescent="0.3">
      <c r="A85" s="96" t="s">
        <v>750</v>
      </c>
      <c r="B85" s="351" t="s">
        <v>614</v>
      </c>
      <c r="C85" s="44" t="str">
        <f>"619217372106"</f>
        <v>619217372106</v>
      </c>
      <c r="D85" s="51">
        <v>5</v>
      </c>
      <c r="E85" s="234" t="s">
        <v>420</v>
      </c>
      <c r="F85" s="286" t="s">
        <v>597</v>
      </c>
    </row>
    <row r="86" spans="1:7" x14ac:dyDescent="0.25">
      <c r="A86" s="513" t="s">
        <v>911</v>
      </c>
      <c r="B86" s="185" t="s">
        <v>39</v>
      </c>
      <c r="C86" s="5" t="str">
        <f>"619217371913"</f>
        <v>619217371913</v>
      </c>
      <c r="D86" s="2">
        <v>8.0169999999999995</v>
      </c>
      <c r="E86" s="225" t="s">
        <v>419</v>
      </c>
      <c r="F86" s="5" t="s">
        <v>578</v>
      </c>
      <c r="G86" s="2"/>
    </row>
    <row r="87" spans="1:7" x14ac:dyDescent="0.25">
      <c r="A87" s="514" t="s">
        <v>911</v>
      </c>
      <c r="B87" s="5" t="s">
        <v>39</v>
      </c>
      <c r="C87" s="5" t="str">
        <f>"619217371914"</f>
        <v>619217371914</v>
      </c>
      <c r="D87" s="2">
        <v>8</v>
      </c>
      <c r="E87" s="225" t="s">
        <v>419</v>
      </c>
      <c r="F87" s="5" t="s">
        <v>579</v>
      </c>
      <c r="G87" s="2"/>
    </row>
    <row r="88" spans="1:7" x14ac:dyDescent="0.25">
      <c r="A88" s="514" t="s">
        <v>911</v>
      </c>
      <c r="B88" s="5" t="s">
        <v>39</v>
      </c>
      <c r="C88" s="5" t="str">
        <f>"619217371915"</f>
        <v>619217371915</v>
      </c>
      <c r="D88" s="2">
        <v>7.9329999999999998</v>
      </c>
      <c r="E88" s="225" t="s">
        <v>419</v>
      </c>
      <c r="F88" s="5" t="s">
        <v>580</v>
      </c>
      <c r="G88" s="2"/>
    </row>
    <row r="89" spans="1:7" x14ac:dyDescent="0.25">
      <c r="A89" s="514" t="s">
        <v>911</v>
      </c>
      <c r="B89" s="5" t="s">
        <v>39</v>
      </c>
      <c r="C89" s="5" t="str">
        <f>"619217591963"</f>
        <v>619217591963</v>
      </c>
      <c r="D89" s="2">
        <v>7.7169999999999996</v>
      </c>
      <c r="E89" s="225" t="s">
        <v>419</v>
      </c>
      <c r="F89" s="5" t="s">
        <v>581</v>
      </c>
      <c r="G89" s="2"/>
    </row>
    <row r="90" spans="1:7" x14ac:dyDescent="0.25">
      <c r="A90" s="514" t="s">
        <v>911</v>
      </c>
      <c r="B90" s="5" t="s">
        <v>39</v>
      </c>
      <c r="C90" s="5" t="str">
        <f>"619217591918"</f>
        <v>619217591918</v>
      </c>
      <c r="D90" s="2">
        <v>7.617</v>
      </c>
      <c r="E90" s="225" t="s">
        <v>419</v>
      </c>
      <c r="F90" s="5" t="s">
        <v>582</v>
      </c>
      <c r="G90" s="2"/>
    </row>
    <row r="91" spans="1:7" x14ac:dyDescent="0.25">
      <c r="A91" s="514" t="s">
        <v>911</v>
      </c>
      <c r="B91" s="5" t="s">
        <v>39</v>
      </c>
      <c r="C91" s="5" t="str">
        <f>"619217591920"</f>
        <v>619217591920</v>
      </c>
      <c r="D91" s="2">
        <v>7.2670000000000003</v>
      </c>
      <c r="E91" s="225" t="s">
        <v>419</v>
      </c>
      <c r="F91" s="5" t="s">
        <v>583</v>
      </c>
      <c r="G91" s="2"/>
    </row>
    <row r="92" spans="1:7" x14ac:dyDescent="0.25">
      <c r="A92" s="514" t="s">
        <v>911</v>
      </c>
      <c r="B92" s="5" t="s">
        <v>39</v>
      </c>
      <c r="C92" s="5" t="str">
        <f>"619217371921"</f>
        <v>619217371921</v>
      </c>
      <c r="D92" s="2">
        <v>7.15</v>
      </c>
      <c r="E92" s="225" t="s">
        <v>419</v>
      </c>
      <c r="F92" s="5" t="s">
        <v>584</v>
      </c>
      <c r="G92" s="2"/>
    </row>
    <row r="93" spans="1:7" x14ac:dyDescent="0.25">
      <c r="A93" s="514" t="s">
        <v>911</v>
      </c>
      <c r="B93" s="5" t="s">
        <v>39</v>
      </c>
      <c r="C93" s="5" t="str">
        <f>"619217371923"</f>
        <v>619217371923</v>
      </c>
      <c r="D93" s="2">
        <v>7.0830000000000002</v>
      </c>
      <c r="E93" s="225" t="s">
        <v>419</v>
      </c>
      <c r="F93" s="5" t="s">
        <v>585</v>
      </c>
      <c r="G93" s="2"/>
    </row>
    <row r="94" spans="1:7" x14ac:dyDescent="0.25">
      <c r="A94" s="514" t="s">
        <v>911</v>
      </c>
      <c r="B94" s="5" t="s">
        <v>39</v>
      </c>
      <c r="C94" s="5" t="str">
        <f>"619217371924"</f>
        <v>619217371924</v>
      </c>
      <c r="D94" s="2">
        <v>6.6829999999999998</v>
      </c>
      <c r="E94" s="225" t="s">
        <v>419</v>
      </c>
      <c r="F94" s="5" t="s">
        <v>586</v>
      </c>
      <c r="G94" s="2"/>
    </row>
    <row r="95" spans="1:7" ht="15.75" thickBot="1" x14ac:dyDescent="0.3">
      <c r="A95" s="515" t="s">
        <v>911</v>
      </c>
      <c r="B95" s="44" t="s">
        <v>39</v>
      </c>
      <c r="C95" s="185" t="str">
        <f>"619217591926"</f>
        <v>619217591926</v>
      </c>
      <c r="D95" s="2">
        <v>6.6669999999999998</v>
      </c>
      <c r="E95" s="225" t="s">
        <v>419</v>
      </c>
      <c r="F95" s="185" t="s">
        <v>587</v>
      </c>
      <c r="G95" s="86"/>
    </row>
    <row r="96" spans="1:7" x14ac:dyDescent="0.25">
      <c r="A96" s="2" t="s">
        <v>911</v>
      </c>
      <c r="B96" s="5" t="s">
        <v>39</v>
      </c>
      <c r="C96" s="7" t="str">
        <f>"619217371928"</f>
        <v>619217371928</v>
      </c>
      <c r="D96" s="2">
        <v>6.65</v>
      </c>
      <c r="E96" s="226" t="s">
        <v>420</v>
      </c>
      <c r="F96" s="5" t="s">
        <v>588</v>
      </c>
    </row>
    <row r="97" spans="1:6" x14ac:dyDescent="0.25">
      <c r="A97" s="2" t="s">
        <v>911</v>
      </c>
      <c r="B97" s="5" t="s">
        <v>39</v>
      </c>
      <c r="C97" s="5" t="str">
        <f>"619217371929"</f>
        <v>619217371929</v>
      </c>
      <c r="D97" s="2">
        <v>6.5330000000000004</v>
      </c>
      <c r="E97" s="226" t="s">
        <v>420</v>
      </c>
      <c r="F97" s="5">
        <v>12</v>
      </c>
    </row>
    <row r="98" spans="1:6" x14ac:dyDescent="0.25">
      <c r="A98" s="2" t="s">
        <v>911</v>
      </c>
      <c r="B98" s="5" t="s">
        <v>39</v>
      </c>
      <c r="C98" s="5" t="str">
        <f>"619217371930"</f>
        <v>619217371930</v>
      </c>
      <c r="D98" s="2">
        <v>6.4</v>
      </c>
      <c r="E98" s="226" t="s">
        <v>420</v>
      </c>
      <c r="F98" s="5">
        <v>13</v>
      </c>
    </row>
    <row r="99" spans="1:6" x14ac:dyDescent="0.25">
      <c r="A99" s="2" t="s">
        <v>911</v>
      </c>
      <c r="B99" s="5" t="s">
        <v>39</v>
      </c>
      <c r="C99" s="5" t="str">
        <f>"619217371931"</f>
        <v>619217371931</v>
      </c>
      <c r="D99" s="2">
        <v>5.7329999999999997</v>
      </c>
      <c r="E99" s="226" t="s">
        <v>420</v>
      </c>
      <c r="F99" s="5">
        <v>14</v>
      </c>
    </row>
    <row r="100" spans="1:6" x14ac:dyDescent="0.25">
      <c r="A100" s="2" t="s">
        <v>911</v>
      </c>
      <c r="B100" s="5" t="s">
        <v>39</v>
      </c>
      <c r="C100" s="5" t="str">
        <f>"619217591933"</f>
        <v>619217591933</v>
      </c>
      <c r="D100" s="2">
        <v>5.6</v>
      </c>
      <c r="E100" s="226" t="s">
        <v>420</v>
      </c>
      <c r="F100" s="5">
        <v>15</v>
      </c>
    </row>
    <row r="101" spans="1:6" x14ac:dyDescent="0.25">
      <c r="A101" s="2" t="s">
        <v>911</v>
      </c>
      <c r="B101" s="5" t="s">
        <v>39</v>
      </c>
      <c r="C101" s="5" t="str">
        <f>"619217371935"</f>
        <v>619217371935</v>
      </c>
      <c r="D101" s="2">
        <v>5.367</v>
      </c>
      <c r="E101" s="226" t="s">
        <v>420</v>
      </c>
      <c r="F101" s="5">
        <v>16</v>
      </c>
    </row>
    <row r="102" spans="1:6" x14ac:dyDescent="0.25">
      <c r="A102" s="513" t="s">
        <v>911</v>
      </c>
      <c r="B102" s="86" t="s">
        <v>41</v>
      </c>
      <c r="C102" s="185" t="str">
        <f>"619217591904"</f>
        <v>619217591904</v>
      </c>
      <c r="D102" s="2">
        <v>6.3170000000000002</v>
      </c>
      <c r="E102" s="225" t="s">
        <v>419</v>
      </c>
      <c r="F102" s="185" t="s">
        <v>583</v>
      </c>
    </row>
    <row r="103" spans="1:6" x14ac:dyDescent="0.25">
      <c r="A103" s="514" t="s">
        <v>911</v>
      </c>
      <c r="B103" s="2" t="s">
        <v>41</v>
      </c>
      <c r="C103" s="5" t="str">
        <f>"619217591903"</f>
        <v>619217591903</v>
      </c>
      <c r="D103" s="2">
        <v>6.9</v>
      </c>
      <c r="E103" s="225" t="s">
        <v>419</v>
      </c>
      <c r="F103" s="5" t="s">
        <v>582</v>
      </c>
    </row>
    <row r="104" spans="1:6" x14ac:dyDescent="0.25">
      <c r="A104" s="514" t="s">
        <v>911</v>
      </c>
      <c r="B104" s="2" t="s">
        <v>41</v>
      </c>
      <c r="C104" s="5" t="str">
        <f>"619217591902"</f>
        <v>619217591902</v>
      </c>
      <c r="D104" s="2">
        <v>6.9829999999999997</v>
      </c>
      <c r="E104" s="225" t="s">
        <v>419</v>
      </c>
      <c r="F104" s="5" t="s">
        <v>581</v>
      </c>
    </row>
    <row r="105" spans="1:6" x14ac:dyDescent="0.25">
      <c r="A105" s="514" t="s">
        <v>911</v>
      </c>
      <c r="B105" s="2" t="s">
        <v>41</v>
      </c>
      <c r="C105" s="5" t="str">
        <f>"619217591901"</f>
        <v>619217591901</v>
      </c>
      <c r="D105" s="2">
        <v>7.0670000000000002</v>
      </c>
      <c r="E105" s="225" t="s">
        <v>419</v>
      </c>
      <c r="F105" s="5" t="s">
        <v>580</v>
      </c>
    </row>
    <row r="106" spans="1:6" x14ac:dyDescent="0.25">
      <c r="A106" s="514" t="s">
        <v>911</v>
      </c>
      <c r="B106" s="2" t="s">
        <v>41</v>
      </c>
      <c r="C106" s="5" t="str">
        <f>"619217591900"</f>
        <v>619217591900</v>
      </c>
      <c r="D106" s="2">
        <v>7.0670000000000002</v>
      </c>
      <c r="E106" s="225" t="s">
        <v>419</v>
      </c>
      <c r="F106" s="5" t="s">
        <v>579</v>
      </c>
    </row>
    <row r="107" spans="1:6" ht="15.75" thickBot="1" x14ac:dyDescent="0.3">
      <c r="A107" s="516" t="s">
        <v>911</v>
      </c>
      <c r="B107" s="517" t="s">
        <v>41</v>
      </c>
      <c r="C107" s="147" t="str">
        <f>"619217371899"</f>
        <v>619217371899</v>
      </c>
      <c r="D107" s="517">
        <v>7.5170000000000003</v>
      </c>
      <c r="E107" s="225" t="s">
        <v>419</v>
      </c>
      <c r="F107" s="147" t="s">
        <v>578</v>
      </c>
    </row>
    <row r="108" spans="1:6" x14ac:dyDescent="0.25">
      <c r="A108" s="513" t="s">
        <v>911</v>
      </c>
      <c r="B108" s="185" t="s">
        <v>40</v>
      </c>
      <c r="C108" s="185" t="str">
        <f>"619217371912"</f>
        <v>619217371912</v>
      </c>
      <c r="D108" s="86">
        <v>5.7329999999999997</v>
      </c>
      <c r="E108" s="225" t="s">
        <v>419</v>
      </c>
      <c r="F108" s="185" t="s">
        <v>585</v>
      </c>
    </row>
    <row r="109" spans="1:6" x14ac:dyDescent="0.25">
      <c r="A109" s="514" t="s">
        <v>911</v>
      </c>
      <c r="B109" s="5" t="s">
        <v>40</v>
      </c>
      <c r="C109" s="5" t="str">
        <f>"619217591911"</f>
        <v>619217591911</v>
      </c>
      <c r="D109" s="2">
        <v>6.117</v>
      </c>
      <c r="E109" s="225" t="s">
        <v>419</v>
      </c>
      <c r="F109" s="5" t="s">
        <v>584</v>
      </c>
    </row>
    <row r="110" spans="1:6" x14ac:dyDescent="0.25">
      <c r="A110" s="514" t="s">
        <v>911</v>
      </c>
      <c r="B110" s="5" t="s">
        <v>40</v>
      </c>
      <c r="C110" s="5" t="str">
        <f>"619217591910"</f>
        <v>619217591910</v>
      </c>
      <c r="D110" s="2">
        <v>6.117</v>
      </c>
      <c r="E110" s="225" t="s">
        <v>419</v>
      </c>
      <c r="F110" s="5" t="s">
        <v>583</v>
      </c>
    </row>
    <row r="111" spans="1:6" x14ac:dyDescent="0.25">
      <c r="A111" s="514" t="s">
        <v>911</v>
      </c>
      <c r="B111" s="5" t="s">
        <v>40</v>
      </c>
      <c r="C111" s="5" t="str">
        <f>"619217591909"</f>
        <v>619217591909</v>
      </c>
      <c r="D111" s="2">
        <v>6.2670000000000003</v>
      </c>
      <c r="E111" s="225" t="s">
        <v>419</v>
      </c>
      <c r="F111" s="5" t="s">
        <v>582</v>
      </c>
    </row>
    <row r="112" spans="1:6" x14ac:dyDescent="0.25">
      <c r="A112" s="514" t="s">
        <v>911</v>
      </c>
      <c r="B112" s="5" t="s">
        <v>40</v>
      </c>
      <c r="C112" s="5" t="str">
        <f>"619217591908"</f>
        <v>619217591908</v>
      </c>
      <c r="D112" s="2">
        <v>6.35</v>
      </c>
      <c r="E112" s="225" t="s">
        <v>419</v>
      </c>
      <c r="F112" s="5" t="s">
        <v>581</v>
      </c>
    </row>
    <row r="113" spans="1:6" x14ac:dyDescent="0.25">
      <c r="A113" s="514" t="s">
        <v>911</v>
      </c>
      <c r="B113" s="5" t="s">
        <v>40</v>
      </c>
      <c r="C113" s="5" t="str">
        <f>"619217591907"</f>
        <v>619217591907</v>
      </c>
      <c r="D113" s="2">
        <v>6.5170000000000003</v>
      </c>
      <c r="E113" s="225" t="s">
        <v>419</v>
      </c>
      <c r="F113" s="5" t="s">
        <v>580</v>
      </c>
    </row>
    <row r="114" spans="1:6" x14ac:dyDescent="0.25">
      <c r="A114" s="514" t="s">
        <v>911</v>
      </c>
      <c r="B114" s="5" t="s">
        <v>40</v>
      </c>
      <c r="C114" s="5" t="str">
        <f>"619217591906"</f>
        <v>619217591906</v>
      </c>
      <c r="D114" s="2">
        <v>7.2</v>
      </c>
      <c r="E114" s="225" t="s">
        <v>419</v>
      </c>
      <c r="F114" s="5" t="s">
        <v>579</v>
      </c>
    </row>
    <row r="115" spans="1:6" x14ac:dyDescent="0.25">
      <c r="A115" s="601" t="s">
        <v>911</v>
      </c>
      <c r="B115" s="106" t="s">
        <v>40</v>
      </c>
      <c r="C115" s="106" t="str">
        <f>"619217591905"</f>
        <v>619217591905</v>
      </c>
      <c r="D115" s="179">
        <v>7.2830000000000004</v>
      </c>
      <c r="E115" s="366" t="s">
        <v>419</v>
      </c>
      <c r="F115" s="106" t="s">
        <v>578</v>
      </c>
    </row>
    <row r="116" spans="1:6" x14ac:dyDescent="0.25">
      <c r="A116" s="297">
        <v>43187</v>
      </c>
      <c r="B116" s="5" t="s">
        <v>505</v>
      </c>
      <c r="C116" s="2">
        <v>19201800114</v>
      </c>
      <c r="D116" s="2">
        <v>8.15</v>
      </c>
      <c r="E116" s="225" t="s">
        <v>419</v>
      </c>
      <c r="F116" s="371" t="s">
        <v>578</v>
      </c>
    </row>
    <row r="117" spans="1:6" x14ac:dyDescent="0.25">
      <c r="A117" s="297">
        <v>43187</v>
      </c>
      <c r="B117" s="5" t="s">
        <v>505</v>
      </c>
      <c r="C117" s="2">
        <v>19201800124</v>
      </c>
      <c r="D117" s="2">
        <v>8.09</v>
      </c>
      <c r="E117" s="225" t="s">
        <v>419</v>
      </c>
      <c r="F117" s="371" t="s">
        <v>579</v>
      </c>
    </row>
    <row r="118" spans="1:6" x14ac:dyDescent="0.25">
      <c r="A118" s="297">
        <v>43187</v>
      </c>
      <c r="B118" s="5" t="s">
        <v>505</v>
      </c>
      <c r="C118" s="2">
        <v>19201800135</v>
      </c>
      <c r="D118" s="2">
        <v>8.08</v>
      </c>
      <c r="E118" s="225" t="s">
        <v>419</v>
      </c>
      <c r="F118" s="371" t="s">
        <v>580</v>
      </c>
    </row>
    <row r="119" spans="1:6" x14ac:dyDescent="0.25">
      <c r="A119" s="297">
        <v>43187</v>
      </c>
      <c r="B119" s="5" t="s">
        <v>505</v>
      </c>
      <c r="C119" s="2">
        <v>19201800132</v>
      </c>
      <c r="D119" s="2">
        <v>4.3600000000000003</v>
      </c>
      <c r="E119" s="226" t="s">
        <v>420</v>
      </c>
      <c r="F119" s="371" t="s">
        <v>581</v>
      </c>
    </row>
    <row r="120" spans="1:6" x14ac:dyDescent="0.25">
      <c r="A120" s="297">
        <v>43187</v>
      </c>
      <c r="B120" s="11" t="s">
        <v>614</v>
      </c>
      <c r="C120" s="2">
        <v>19201800150</v>
      </c>
      <c r="D120" s="2">
        <v>7.95</v>
      </c>
      <c r="E120" s="225" t="s">
        <v>419</v>
      </c>
      <c r="F120" s="371" t="s">
        <v>578</v>
      </c>
    </row>
    <row r="121" spans="1:6" x14ac:dyDescent="0.25">
      <c r="A121" s="297">
        <v>43187</v>
      </c>
      <c r="B121" s="11" t="s">
        <v>614</v>
      </c>
      <c r="C121" s="2">
        <v>19201800118</v>
      </c>
      <c r="D121" s="2">
        <v>7.7</v>
      </c>
      <c r="E121" s="225" t="s">
        <v>419</v>
      </c>
      <c r="F121" s="371" t="s">
        <v>579</v>
      </c>
    </row>
    <row r="122" spans="1:6" x14ac:dyDescent="0.25">
      <c r="A122" s="297">
        <v>43187</v>
      </c>
      <c r="B122" s="11" t="s">
        <v>614</v>
      </c>
      <c r="C122" s="2">
        <v>19201800131</v>
      </c>
      <c r="D122" s="2">
        <v>7.64</v>
      </c>
      <c r="E122" s="225" t="s">
        <v>419</v>
      </c>
      <c r="F122" s="371" t="s">
        <v>580</v>
      </c>
    </row>
    <row r="123" spans="1:6" x14ac:dyDescent="0.25">
      <c r="A123" s="297">
        <v>43187</v>
      </c>
      <c r="B123" s="11" t="s">
        <v>614</v>
      </c>
      <c r="C123" s="2">
        <v>19201800044</v>
      </c>
      <c r="D123" s="2">
        <v>7.61</v>
      </c>
      <c r="E123" s="225" t="s">
        <v>419</v>
      </c>
      <c r="F123" s="371" t="s">
        <v>581</v>
      </c>
    </row>
    <row r="124" spans="1:6" x14ac:dyDescent="0.25">
      <c r="A124" s="297">
        <v>43187</v>
      </c>
      <c r="B124" s="11" t="s">
        <v>614</v>
      </c>
      <c r="C124" s="2">
        <v>19201800127</v>
      </c>
      <c r="D124" s="2">
        <v>7.55</v>
      </c>
      <c r="E124" s="225" t="s">
        <v>419</v>
      </c>
      <c r="F124" s="371" t="s">
        <v>582</v>
      </c>
    </row>
    <row r="125" spans="1:6" x14ac:dyDescent="0.25">
      <c r="A125" s="297">
        <v>43187</v>
      </c>
      <c r="B125" s="11" t="s">
        <v>614</v>
      </c>
      <c r="C125" s="2">
        <v>19201800111</v>
      </c>
      <c r="D125" s="2">
        <v>7.4</v>
      </c>
      <c r="E125" s="225" t="s">
        <v>419</v>
      </c>
      <c r="F125" s="371" t="s">
        <v>583</v>
      </c>
    </row>
    <row r="126" spans="1:6" x14ac:dyDescent="0.25">
      <c r="A126" s="297">
        <v>43187</v>
      </c>
      <c r="B126" s="11" t="s">
        <v>614</v>
      </c>
      <c r="C126" s="2">
        <v>19201800106</v>
      </c>
      <c r="D126" s="2">
        <v>7.31</v>
      </c>
      <c r="E126" s="225" t="s">
        <v>419</v>
      </c>
      <c r="F126" s="371" t="s">
        <v>584</v>
      </c>
    </row>
    <row r="127" spans="1:6" x14ac:dyDescent="0.25">
      <c r="A127" s="297">
        <v>43187</v>
      </c>
      <c r="B127" s="11" t="s">
        <v>614</v>
      </c>
      <c r="C127" s="2">
        <v>19201800104</v>
      </c>
      <c r="D127" s="2">
        <v>7.21</v>
      </c>
      <c r="E127" s="226" t="s">
        <v>420</v>
      </c>
      <c r="F127" s="371" t="s">
        <v>585</v>
      </c>
    </row>
    <row r="128" spans="1:6" x14ac:dyDescent="0.25">
      <c r="A128" s="297">
        <v>43187</v>
      </c>
      <c r="B128" s="11" t="s">
        <v>614</v>
      </c>
      <c r="C128" s="2">
        <v>19201800123</v>
      </c>
      <c r="D128" s="2">
        <v>7.2</v>
      </c>
      <c r="E128" s="226" t="s">
        <v>420</v>
      </c>
      <c r="F128" s="371" t="s">
        <v>586</v>
      </c>
    </row>
    <row r="129" spans="1:6" x14ac:dyDescent="0.25">
      <c r="A129" s="297">
        <v>43187</v>
      </c>
      <c r="B129" s="11" t="s">
        <v>614</v>
      </c>
      <c r="C129" s="2">
        <v>19201800143</v>
      </c>
      <c r="D129" s="2">
        <v>7.2</v>
      </c>
      <c r="E129" s="226" t="s">
        <v>420</v>
      </c>
      <c r="F129" s="371" t="s">
        <v>587</v>
      </c>
    </row>
    <row r="130" spans="1:6" x14ac:dyDescent="0.25">
      <c r="A130" s="297">
        <v>43187</v>
      </c>
      <c r="B130" s="11" t="s">
        <v>614</v>
      </c>
      <c r="C130" s="2">
        <v>19201800126</v>
      </c>
      <c r="D130" s="2">
        <v>6.2</v>
      </c>
      <c r="E130" s="226" t="s">
        <v>420</v>
      </c>
      <c r="F130" s="371" t="s">
        <v>588</v>
      </c>
    </row>
    <row r="131" spans="1:6" x14ac:dyDescent="0.25">
      <c r="A131" s="297">
        <v>43187</v>
      </c>
      <c r="B131" s="11" t="s">
        <v>614</v>
      </c>
      <c r="C131" s="2">
        <v>19201800142</v>
      </c>
      <c r="D131" s="2">
        <v>6.18</v>
      </c>
      <c r="E131" s="226" t="s">
        <v>420</v>
      </c>
      <c r="F131" s="371" t="s">
        <v>589</v>
      </c>
    </row>
    <row r="132" spans="1:6" x14ac:dyDescent="0.25">
      <c r="A132" s="297">
        <v>43187</v>
      </c>
      <c r="B132" s="11" t="s">
        <v>614</v>
      </c>
      <c r="C132" s="2">
        <v>19201800141</v>
      </c>
      <c r="D132" s="2">
        <v>6.11</v>
      </c>
      <c r="E132" s="226" t="s">
        <v>420</v>
      </c>
      <c r="F132" s="371" t="s">
        <v>590</v>
      </c>
    </row>
    <row r="133" spans="1:6" x14ac:dyDescent="0.25">
      <c r="A133" s="297">
        <v>43187</v>
      </c>
      <c r="B133" s="11" t="s">
        <v>614</v>
      </c>
      <c r="C133" s="2">
        <v>19201800146</v>
      </c>
      <c r="D133" s="2">
        <v>5.81</v>
      </c>
      <c r="E133" s="226" t="s">
        <v>420</v>
      </c>
      <c r="F133" s="371" t="s">
        <v>591</v>
      </c>
    </row>
    <row r="134" spans="1:6" x14ac:dyDescent="0.25">
      <c r="A134" s="297">
        <v>43187</v>
      </c>
      <c r="B134" s="11" t="s">
        <v>614</v>
      </c>
      <c r="C134" s="2">
        <v>19201800119</v>
      </c>
      <c r="D134" s="2">
        <v>5.46</v>
      </c>
      <c r="E134" s="226" t="s">
        <v>420</v>
      </c>
      <c r="F134" s="371" t="s">
        <v>592</v>
      </c>
    </row>
    <row r="135" spans="1:6" x14ac:dyDescent="0.25">
      <c r="A135" s="297">
        <v>43187</v>
      </c>
      <c r="B135" s="11" t="s">
        <v>39</v>
      </c>
      <c r="C135" s="2">
        <v>19201800128</v>
      </c>
      <c r="D135" s="2">
        <v>8.19</v>
      </c>
      <c r="E135" s="225" t="s">
        <v>419</v>
      </c>
      <c r="F135" s="371" t="s">
        <v>578</v>
      </c>
    </row>
    <row r="136" spans="1:6" x14ac:dyDescent="0.25">
      <c r="A136" s="297">
        <v>43187</v>
      </c>
      <c r="B136" s="11" t="s">
        <v>39</v>
      </c>
      <c r="C136" s="2">
        <v>19201800140</v>
      </c>
      <c r="D136" s="2">
        <v>8.15</v>
      </c>
      <c r="E136" s="225" t="s">
        <v>419</v>
      </c>
      <c r="F136" s="371" t="s">
        <v>579</v>
      </c>
    </row>
    <row r="137" spans="1:6" x14ac:dyDescent="0.25">
      <c r="A137" s="297">
        <v>43187</v>
      </c>
      <c r="B137" s="11" t="s">
        <v>39</v>
      </c>
      <c r="C137" s="2">
        <v>19201800134</v>
      </c>
      <c r="D137" s="2">
        <v>7.72</v>
      </c>
      <c r="E137" s="225" t="s">
        <v>419</v>
      </c>
      <c r="F137" s="371" t="s">
        <v>580</v>
      </c>
    </row>
    <row r="138" spans="1:6" x14ac:dyDescent="0.25">
      <c r="A138" s="297">
        <v>43187</v>
      </c>
      <c r="B138" s="11" t="s">
        <v>39</v>
      </c>
      <c r="C138" s="2">
        <v>19201800117</v>
      </c>
      <c r="D138" s="2">
        <v>7.29</v>
      </c>
      <c r="E138" s="225" t="s">
        <v>419</v>
      </c>
      <c r="F138" s="371" t="s">
        <v>581</v>
      </c>
    </row>
    <row r="139" spans="1:6" x14ac:dyDescent="0.25">
      <c r="A139" s="297">
        <v>43187</v>
      </c>
      <c r="B139" s="11" t="s">
        <v>39</v>
      </c>
      <c r="C139" s="2">
        <v>19201800113</v>
      </c>
      <c r="D139" s="2">
        <v>7.27</v>
      </c>
      <c r="E139" s="225" t="s">
        <v>419</v>
      </c>
      <c r="F139" s="371" t="s">
        <v>582</v>
      </c>
    </row>
    <row r="140" spans="1:6" x14ac:dyDescent="0.25">
      <c r="A140" s="297">
        <v>43187</v>
      </c>
      <c r="B140" s="11" t="s">
        <v>39</v>
      </c>
      <c r="C140" s="2">
        <v>19201800120</v>
      </c>
      <c r="D140" s="2">
        <v>7.05</v>
      </c>
      <c r="E140" s="226" t="s">
        <v>420</v>
      </c>
      <c r="F140" s="371" t="s">
        <v>583</v>
      </c>
    </row>
    <row r="141" spans="1:6" x14ac:dyDescent="0.25">
      <c r="A141" s="297">
        <v>43187</v>
      </c>
      <c r="B141" s="11" t="s">
        <v>39</v>
      </c>
      <c r="C141" s="2">
        <v>19201800130</v>
      </c>
      <c r="D141" s="2">
        <v>6.91</v>
      </c>
      <c r="E141" s="226" t="s">
        <v>420</v>
      </c>
      <c r="F141" s="371" t="s">
        <v>584</v>
      </c>
    </row>
    <row r="142" spans="1:6" x14ac:dyDescent="0.25">
      <c r="A142" s="297">
        <v>43187</v>
      </c>
      <c r="B142" s="11" t="s">
        <v>39</v>
      </c>
      <c r="C142" s="2">
        <v>19201800155</v>
      </c>
      <c r="D142" s="2">
        <v>6.74</v>
      </c>
      <c r="E142" s="226" t="s">
        <v>420</v>
      </c>
      <c r="F142" s="371" t="s">
        <v>585</v>
      </c>
    </row>
    <row r="143" spans="1:6" x14ac:dyDescent="0.25">
      <c r="A143" s="297">
        <v>43187</v>
      </c>
      <c r="B143" s="11" t="s">
        <v>39</v>
      </c>
      <c r="C143" s="2">
        <v>19201800103</v>
      </c>
      <c r="D143" s="2">
        <v>6.54</v>
      </c>
      <c r="E143" s="226" t="s">
        <v>420</v>
      </c>
      <c r="F143" s="371" t="s">
        <v>586</v>
      </c>
    </row>
    <row r="144" spans="1:6" x14ac:dyDescent="0.25">
      <c r="A144" s="297">
        <v>43187</v>
      </c>
      <c r="B144" s="11" t="s">
        <v>39</v>
      </c>
      <c r="C144" s="2">
        <v>19201800121</v>
      </c>
      <c r="D144" s="2">
        <v>6.19</v>
      </c>
      <c r="E144" s="226" t="s">
        <v>420</v>
      </c>
      <c r="F144" s="371" t="s">
        <v>587</v>
      </c>
    </row>
    <row r="145" spans="1:6" x14ac:dyDescent="0.25">
      <c r="A145" s="297">
        <v>43187</v>
      </c>
      <c r="B145" s="11" t="s">
        <v>41</v>
      </c>
      <c r="C145" s="2">
        <v>19201800129</v>
      </c>
      <c r="D145" s="2">
        <v>7.87</v>
      </c>
      <c r="E145" s="225" t="s">
        <v>419</v>
      </c>
      <c r="F145" s="371" t="s">
        <v>578</v>
      </c>
    </row>
    <row r="146" spans="1:6" x14ac:dyDescent="0.25">
      <c r="A146" s="297">
        <v>43187</v>
      </c>
      <c r="B146" s="11" t="s">
        <v>41</v>
      </c>
      <c r="C146" s="2">
        <v>19201800107</v>
      </c>
      <c r="D146" s="2">
        <v>7.19</v>
      </c>
      <c r="E146" s="225" t="s">
        <v>419</v>
      </c>
      <c r="F146" s="5" t="s">
        <v>579</v>
      </c>
    </row>
    <row r="147" spans="1:6" x14ac:dyDescent="0.25">
      <c r="A147" s="297">
        <v>43187</v>
      </c>
      <c r="B147" s="11" t="s">
        <v>41</v>
      </c>
      <c r="C147" s="2">
        <v>19201800109</v>
      </c>
      <c r="D147" s="2">
        <v>7.14</v>
      </c>
      <c r="E147" s="225" t="s">
        <v>419</v>
      </c>
      <c r="F147" s="5" t="s">
        <v>580</v>
      </c>
    </row>
    <row r="148" spans="1:6" x14ac:dyDescent="0.25">
      <c r="A148" s="297">
        <v>43187</v>
      </c>
      <c r="B148" s="11" t="s">
        <v>41</v>
      </c>
      <c r="C148" s="2">
        <v>19201800133</v>
      </c>
      <c r="D148" s="2">
        <v>6.85</v>
      </c>
      <c r="E148" s="225" t="s">
        <v>419</v>
      </c>
      <c r="F148" s="371" t="s">
        <v>581</v>
      </c>
    </row>
    <row r="149" spans="1:6" x14ac:dyDescent="0.25">
      <c r="A149" s="297">
        <v>43187</v>
      </c>
      <c r="B149" s="11" t="s">
        <v>41</v>
      </c>
      <c r="C149" s="2">
        <v>19201800122</v>
      </c>
      <c r="D149" s="2">
        <v>6.84</v>
      </c>
      <c r="E149" s="225" t="s">
        <v>419</v>
      </c>
      <c r="F149" s="371" t="s">
        <v>582</v>
      </c>
    </row>
    <row r="150" spans="1:6" x14ac:dyDescent="0.25">
      <c r="A150" s="297">
        <v>43187</v>
      </c>
      <c r="B150" s="11" t="s">
        <v>41</v>
      </c>
      <c r="C150" s="2">
        <v>19201800136</v>
      </c>
      <c r="D150" s="2">
        <v>6.44</v>
      </c>
      <c r="E150" s="225" t="s">
        <v>419</v>
      </c>
      <c r="F150" s="371" t="s">
        <v>583</v>
      </c>
    </row>
    <row r="151" spans="1:6" x14ac:dyDescent="0.25">
      <c r="A151" s="297">
        <v>43187</v>
      </c>
      <c r="B151" s="11" t="s">
        <v>41</v>
      </c>
      <c r="C151" s="2">
        <v>19201800137</v>
      </c>
      <c r="D151" s="2">
        <v>5.65</v>
      </c>
      <c r="E151" s="226" t="s">
        <v>420</v>
      </c>
      <c r="F151" s="371" t="s">
        <v>584</v>
      </c>
    </row>
    <row r="152" spans="1:6" x14ac:dyDescent="0.25">
      <c r="A152" s="297">
        <v>43187</v>
      </c>
      <c r="B152" s="11" t="s">
        <v>42</v>
      </c>
      <c r="C152" s="2">
        <v>19201800116</v>
      </c>
      <c r="D152" s="2">
        <v>7.75</v>
      </c>
      <c r="E152" s="225" t="s">
        <v>419</v>
      </c>
      <c r="F152" s="371" t="s">
        <v>578</v>
      </c>
    </row>
    <row r="153" spans="1:6" x14ac:dyDescent="0.25">
      <c r="A153" s="297">
        <v>43187</v>
      </c>
      <c r="B153" s="11" t="s">
        <v>42</v>
      </c>
      <c r="C153" s="2">
        <v>19201800138</v>
      </c>
      <c r="D153" s="2">
        <v>7.51</v>
      </c>
      <c r="E153" s="225" t="s">
        <v>419</v>
      </c>
      <c r="F153" s="371" t="s">
        <v>579</v>
      </c>
    </row>
    <row r="154" spans="1:6" x14ac:dyDescent="0.25">
      <c r="A154" s="297">
        <v>43187</v>
      </c>
      <c r="B154" s="11" t="s">
        <v>42</v>
      </c>
      <c r="C154" s="2">
        <v>19201800145</v>
      </c>
      <c r="D154" s="2">
        <v>7.26</v>
      </c>
      <c r="E154" s="226" t="s">
        <v>420</v>
      </c>
      <c r="F154" s="371" t="s">
        <v>580</v>
      </c>
    </row>
    <row r="155" spans="1:6" x14ac:dyDescent="0.25">
      <c r="A155" s="297">
        <v>43187</v>
      </c>
      <c r="B155" s="11" t="s">
        <v>42</v>
      </c>
      <c r="C155" s="2">
        <v>19201800110</v>
      </c>
      <c r="D155" s="2">
        <v>7.05</v>
      </c>
      <c r="E155" s="226" t="s">
        <v>420</v>
      </c>
      <c r="F155" s="371" t="s">
        <v>581</v>
      </c>
    </row>
    <row r="156" spans="1:6" x14ac:dyDescent="0.25">
      <c r="A156" s="297">
        <v>43187</v>
      </c>
      <c r="B156" s="11" t="s">
        <v>614</v>
      </c>
      <c r="C156" s="2">
        <v>19201900217</v>
      </c>
      <c r="D156" s="2">
        <v>7.87</v>
      </c>
      <c r="E156" s="225" t="s">
        <v>419</v>
      </c>
      <c r="F156" s="371" t="s">
        <v>578</v>
      </c>
    </row>
    <row r="157" spans="1:6" x14ac:dyDescent="0.25">
      <c r="A157" s="297">
        <v>43187</v>
      </c>
      <c r="B157" s="11" t="s">
        <v>614</v>
      </c>
      <c r="C157" s="2">
        <v>19201900155</v>
      </c>
      <c r="D157" s="2">
        <v>7.64</v>
      </c>
      <c r="E157" s="225" t="s">
        <v>419</v>
      </c>
      <c r="F157" s="371" t="s">
        <v>579</v>
      </c>
    </row>
    <row r="158" spans="1:6" x14ac:dyDescent="0.25">
      <c r="A158" s="297">
        <v>43187</v>
      </c>
      <c r="B158" s="11" t="s">
        <v>614</v>
      </c>
      <c r="C158" s="2">
        <v>19201900163</v>
      </c>
      <c r="D158" s="2">
        <v>7.44</v>
      </c>
      <c r="E158" s="225" t="s">
        <v>419</v>
      </c>
      <c r="F158" s="371" t="s">
        <v>580</v>
      </c>
    </row>
    <row r="159" spans="1:6" x14ac:dyDescent="0.25">
      <c r="A159" s="297">
        <v>43187</v>
      </c>
      <c r="B159" s="11" t="s">
        <v>614</v>
      </c>
      <c r="C159" s="2">
        <v>19201900136</v>
      </c>
      <c r="D159" s="2">
        <v>7.35</v>
      </c>
      <c r="E159" s="225" t="s">
        <v>419</v>
      </c>
      <c r="F159" s="371" t="s">
        <v>581</v>
      </c>
    </row>
    <row r="160" spans="1:6" x14ac:dyDescent="0.25">
      <c r="A160" s="297">
        <v>43187</v>
      </c>
      <c r="B160" s="11" t="s">
        <v>614</v>
      </c>
      <c r="C160" s="2">
        <v>19201900220</v>
      </c>
      <c r="D160" s="2">
        <v>7.3</v>
      </c>
      <c r="E160" s="225" t="s">
        <v>419</v>
      </c>
      <c r="F160" s="371" t="s">
        <v>582</v>
      </c>
    </row>
    <row r="161" spans="1:14" x14ac:dyDescent="0.25">
      <c r="A161" s="297">
        <v>43187</v>
      </c>
      <c r="B161" s="11" t="s">
        <v>614</v>
      </c>
      <c r="C161" s="2">
        <v>19201900153</v>
      </c>
      <c r="D161" s="2">
        <v>7.27</v>
      </c>
      <c r="E161" s="225" t="s">
        <v>419</v>
      </c>
      <c r="F161" s="371" t="s">
        <v>583</v>
      </c>
    </row>
    <row r="162" spans="1:14" x14ac:dyDescent="0.25">
      <c r="A162" s="297">
        <v>43187</v>
      </c>
      <c r="B162" s="11" t="s">
        <v>614</v>
      </c>
      <c r="C162" s="2">
        <v>19201900161</v>
      </c>
      <c r="D162" s="2">
        <v>5.95</v>
      </c>
      <c r="E162" s="225" t="s">
        <v>419</v>
      </c>
      <c r="F162" s="371" t="s">
        <v>584</v>
      </c>
    </row>
    <row r="163" spans="1:14" x14ac:dyDescent="0.25">
      <c r="A163" s="297">
        <v>43187</v>
      </c>
      <c r="B163" s="11" t="s">
        <v>614</v>
      </c>
      <c r="C163" s="2">
        <v>19201900219</v>
      </c>
      <c r="D163" s="2">
        <v>5.25</v>
      </c>
      <c r="E163" s="226" t="s">
        <v>420</v>
      </c>
      <c r="F163" s="371" t="s">
        <v>585</v>
      </c>
    </row>
    <row r="164" spans="1:14" x14ac:dyDescent="0.25">
      <c r="A164" s="297">
        <v>43187</v>
      </c>
      <c r="B164" s="11" t="s">
        <v>614</v>
      </c>
      <c r="C164" s="2">
        <v>19201900218</v>
      </c>
      <c r="D164" s="2">
        <v>4.32</v>
      </c>
      <c r="E164" s="226" t="s">
        <v>420</v>
      </c>
      <c r="F164" s="371" t="s">
        <v>586</v>
      </c>
      <c r="N164">
        <v>109</v>
      </c>
    </row>
    <row r="165" spans="1:14" x14ac:dyDescent="0.25">
      <c r="A165" s="297">
        <v>43187</v>
      </c>
      <c r="B165" s="11" t="s">
        <v>505</v>
      </c>
      <c r="C165" s="2">
        <v>19201900166</v>
      </c>
      <c r="D165" s="2">
        <v>8.1999999999999993</v>
      </c>
      <c r="E165" s="225" t="s">
        <v>419</v>
      </c>
      <c r="F165" s="371" t="s">
        <v>578</v>
      </c>
    </row>
    <row r="166" spans="1:14" x14ac:dyDescent="0.25">
      <c r="A166" s="297">
        <v>43187</v>
      </c>
      <c r="B166" s="11" t="s">
        <v>505</v>
      </c>
      <c r="C166" s="2">
        <v>19201900165</v>
      </c>
      <c r="D166" s="2">
        <v>7.6</v>
      </c>
      <c r="E166" s="225" t="s">
        <v>419</v>
      </c>
      <c r="F166" s="371" t="s">
        <v>579</v>
      </c>
    </row>
    <row r="167" spans="1:14" x14ac:dyDescent="0.25">
      <c r="A167" s="297">
        <v>43187</v>
      </c>
      <c r="B167" s="11" t="s">
        <v>505</v>
      </c>
      <c r="C167" s="2">
        <v>19201900144</v>
      </c>
      <c r="D167" s="2">
        <v>5.97</v>
      </c>
      <c r="E167" s="225" t="s">
        <v>419</v>
      </c>
      <c r="F167" s="371" t="s">
        <v>580</v>
      </c>
    </row>
    <row r="168" spans="1:14" x14ac:dyDescent="0.25">
      <c r="A168" s="297">
        <v>43187</v>
      </c>
      <c r="B168" s="11" t="s">
        <v>40</v>
      </c>
      <c r="C168" s="2">
        <v>19201900160</v>
      </c>
      <c r="D168" s="2">
        <v>7.6</v>
      </c>
      <c r="E168" s="225" t="s">
        <v>419</v>
      </c>
      <c r="F168" s="371" t="s">
        <v>578</v>
      </c>
    </row>
    <row r="169" spans="1:14" x14ac:dyDescent="0.25">
      <c r="A169" s="297">
        <v>43187</v>
      </c>
      <c r="B169" s="11" t="s">
        <v>40</v>
      </c>
      <c r="C169" s="2">
        <v>19201900151</v>
      </c>
      <c r="D169" s="2">
        <v>7.3</v>
      </c>
      <c r="E169" s="225" t="s">
        <v>419</v>
      </c>
      <c r="F169" s="371" t="s">
        <v>579</v>
      </c>
    </row>
    <row r="170" spans="1:14" x14ac:dyDescent="0.25">
      <c r="A170" s="297">
        <v>43187</v>
      </c>
      <c r="B170" s="11" t="s">
        <v>40</v>
      </c>
      <c r="C170" s="2">
        <v>19201900110</v>
      </c>
      <c r="D170" s="2">
        <v>7.12</v>
      </c>
      <c r="E170" s="225" t="s">
        <v>419</v>
      </c>
      <c r="F170" s="371" t="s">
        <v>580</v>
      </c>
    </row>
    <row r="171" spans="1:14" x14ac:dyDescent="0.25">
      <c r="A171" s="297">
        <v>43187</v>
      </c>
      <c r="B171" s="11" t="s">
        <v>40</v>
      </c>
      <c r="C171" s="2">
        <v>19201900146</v>
      </c>
      <c r="D171" s="2">
        <v>6.77</v>
      </c>
      <c r="E171" s="226" t="s">
        <v>420</v>
      </c>
      <c r="F171" s="371" t="s">
        <v>581</v>
      </c>
    </row>
    <row r="172" spans="1:14" x14ac:dyDescent="0.25">
      <c r="A172" s="297">
        <v>43187</v>
      </c>
      <c r="B172" s="11" t="s">
        <v>40</v>
      </c>
      <c r="C172" s="2">
        <v>19201900145</v>
      </c>
      <c r="D172" s="2">
        <v>6.59</v>
      </c>
      <c r="E172" s="226" t="s">
        <v>420</v>
      </c>
      <c r="F172" s="371" t="s">
        <v>582</v>
      </c>
    </row>
    <row r="173" spans="1:14" x14ac:dyDescent="0.25">
      <c r="A173" s="297">
        <v>43187</v>
      </c>
      <c r="B173" s="11" t="s">
        <v>40</v>
      </c>
      <c r="C173" s="2">
        <v>19201900159</v>
      </c>
      <c r="D173" s="2">
        <v>6.29</v>
      </c>
      <c r="E173" s="226" t="s">
        <v>420</v>
      </c>
      <c r="F173" s="371" t="s">
        <v>583</v>
      </c>
    </row>
    <row r="174" spans="1:14" x14ac:dyDescent="0.25">
      <c r="A174" s="297">
        <v>43187</v>
      </c>
      <c r="B174" s="11" t="s">
        <v>42</v>
      </c>
      <c r="C174" s="2">
        <v>19201900130</v>
      </c>
      <c r="D174" s="2">
        <v>8.0500000000000007</v>
      </c>
      <c r="E174" s="225" t="s">
        <v>419</v>
      </c>
      <c r="F174" s="371" t="s">
        <v>578</v>
      </c>
    </row>
    <row r="175" spans="1:14" x14ac:dyDescent="0.25">
      <c r="A175" s="297">
        <v>43187</v>
      </c>
      <c r="B175" s="11" t="s">
        <v>42</v>
      </c>
      <c r="C175" s="2">
        <v>19201900154</v>
      </c>
      <c r="D175" s="2">
        <v>8.02</v>
      </c>
      <c r="E175" s="225" t="s">
        <v>419</v>
      </c>
      <c r="F175" s="371" t="s">
        <v>579</v>
      </c>
    </row>
    <row r="176" spans="1:14" x14ac:dyDescent="0.25">
      <c r="A176" s="297">
        <v>43187</v>
      </c>
      <c r="B176" s="11" t="s">
        <v>42</v>
      </c>
      <c r="C176" s="2">
        <v>19201900150</v>
      </c>
      <c r="D176" s="2">
        <v>7.85</v>
      </c>
      <c r="E176" s="226" t="s">
        <v>420</v>
      </c>
      <c r="F176" s="371" t="s">
        <v>580</v>
      </c>
    </row>
    <row r="177" spans="1:6" x14ac:dyDescent="0.25">
      <c r="A177" s="297">
        <v>43187</v>
      </c>
      <c r="B177" s="11" t="s">
        <v>42</v>
      </c>
      <c r="C177" s="2">
        <v>19201900164</v>
      </c>
      <c r="D177" s="2">
        <v>7.73</v>
      </c>
      <c r="E177" s="226" t="s">
        <v>420</v>
      </c>
      <c r="F177" s="371" t="s">
        <v>581</v>
      </c>
    </row>
    <row r="178" spans="1:6" x14ac:dyDescent="0.25">
      <c r="A178" s="297">
        <v>43187</v>
      </c>
      <c r="B178" s="11" t="s">
        <v>41</v>
      </c>
      <c r="C178" s="2">
        <v>19201900168</v>
      </c>
      <c r="D178" s="2">
        <v>7.47</v>
      </c>
      <c r="E178" s="225" t="s">
        <v>419</v>
      </c>
      <c r="F178" s="5" t="s">
        <v>578</v>
      </c>
    </row>
    <row r="179" spans="1:6" x14ac:dyDescent="0.25">
      <c r="A179" s="297">
        <v>43187</v>
      </c>
      <c r="B179" s="11" t="s">
        <v>41</v>
      </c>
      <c r="C179" s="2">
        <v>19201900167</v>
      </c>
      <c r="D179" s="2">
        <v>7.12</v>
      </c>
      <c r="E179" s="225" t="s">
        <v>419</v>
      </c>
      <c r="F179" s="5" t="s">
        <v>579</v>
      </c>
    </row>
    <row r="180" spans="1:6" x14ac:dyDescent="0.25">
      <c r="A180" s="297">
        <v>43187</v>
      </c>
      <c r="B180" s="11" t="s">
        <v>41</v>
      </c>
      <c r="C180" s="2">
        <v>19201900169</v>
      </c>
      <c r="D180" s="2">
        <v>6.95</v>
      </c>
      <c r="E180" s="225" t="s">
        <v>419</v>
      </c>
      <c r="F180" s="371" t="s">
        <v>580</v>
      </c>
    </row>
    <row r="181" spans="1:6" x14ac:dyDescent="0.25">
      <c r="A181" s="297">
        <v>43187</v>
      </c>
      <c r="B181" s="11" t="s">
        <v>41</v>
      </c>
      <c r="C181" s="2">
        <v>19201900162</v>
      </c>
      <c r="D181" s="2">
        <v>6.62</v>
      </c>
      <c r="E181" s="226" t="s">
        <v>420</v>
      </c>
      <c r="F181" s="371" t="s">
        <v>581</v>
      </c>
    </row>
    <row r="182" spans="1:6" x14ac:dyDescent="0.25">
      <c r="A182" s="297">
        <v>43187</v>
      </c>
      <c r="B182" s="11" t="s">
        <v>41</v>
      </c>
      <c r="C182" s="2">
        <v>19201900172</v>
      </c>
      <c r="D182" s="2">
        <v>5.84</v>
      </c>
      <c r="E182" s="226" t="s">
        <v>420</v>
      </c>
      <c r="F182" s="371" t="s">
        <v>582</v>
      </c>
    </row>
    <row r="183" spans="1:6" x14ac:dyDescent="0.25">
      <c r="A183" s="297">
        <v>43187</v>
      </c>
      <c r="B183" s="11" t="s">
        <v>41</v>
      </c>
      <c r="C183" s="2">
        <v>19201900170</v>
      </c>
      <c r="D183" s="2">
        <v>5.59</v>
      </c>
      <c r="E183" s="226" t="s">
        <v>420</v>
      </c>
      <c r="F183" s="371" t="s">
        <v>583</v>
      </c>
    </row>
    <row r="184" spans="1:6" x14ac:dyDescent="0.25">
      <c r="A184" s="297">
        <v>43187</v>
      </c>
      <c r="B184" s="11" t="s">
        <v>39</v>
      </c>
      <c r="C184" s="2">
        <v>19201900143</v>
      </c>
      <c r="D184" s="2">
        <v>8.3000000000000007</v>
      </c>
      <c r="E184" s="225" t="s">
        <v>419</v>
      </c>
      <c r="F184" s="371" t="s">
        <v>578</v>
      </c>
    </row>
    <row r="185" spans="1:6" x14ac:dyDescent="0.25">
      <c r="A185" s="297">
        <v>43187</v>
      </c>
      <c r="B185" s="11" t="s">
        <v>39</v>
      </c>
      <c r="C185" s="2">
        <v>19201900133</v>
      </c>
      <c r="D185" s="2">
        <v>7.99</v>
      </c>
      <c r="E185" s="225" t="s">
        <v>419</v>
      </c>
      <c r="F185" s="371" t="s">
        <v>579</v>
      </c>
    </row>
    <row r="186" spans="1:6" x14ac:dyDescent="0.25">
      <c r="A186" s="297">
        <v>43187</v>
      </c>
      <c r="B186" s="11" t="s">
        <v>39</v>
      </c>
      <c r="C186" s="2">
        <v>19201900149</v>
      </c>
      <c r="D186" s="2">
        <v>7.95</v>
      </c>
      <c r="E186" s="225" t="s">
        <v>419</v>
      </c>
      <c r="F186" s="371" t="s">
        <v>580</v>
      </c>
    </row>
    <row r="187" spans="1:6" x14ac:dyDescent="0.25">
      <c r="A187" s="297">
        <v>43187</v>
      </c>
      <c r="B187" s="11" t="s">
        <v>39</v>
      </c>
      <c r="C187" s="2">
        <v>19201900152</v>
      </c>
      <c r="D187" s="2">
        <v>6.99</v>
      </c>
      <c r="E187" s="225" t="s">
        <v>419</v>
      </c>
      <c r="F187" s="371" t="s">
        <v>581</v>
      </c>
    </row>
    <row r="188" spans="1:6" x14ac:dyDescent="0.25">
      <c r="A188" s="297">
        <v>43187</v>
      </c>
      <c r="B188" s="11" t="s">
        <v>39</v>
      </c>
      <c r="C188" s="2">
        <v>19201900158</v>
      </c>
      <c r="D188" s="2">
        <v>6.95</v>
      </c>
      <c r="E188" s="225" t="s">
        <v>419</v>
      </c>
      <c r="F188" s="371" t="s">
        <v>582</v>
      </c>
    </row>
    <row r="189" spans="1:6" x14ac:dyDescent="0.25">
      <c r="A189" s="297">
        <v>43187</v>
      </c>
      <c r="B189" s="11" t="s">
        <v>39</v>
      </c>
      <c r="C189" s="2">
        <v>19201900147</v>
      </c>
      <c r="D189" s="2">
        <v>6.92</v>
      </c>
      <c r="E189" s="226" t="s">
        <v>420</v>
      </c>
      <c r="F189" s="371" t="s">
        <v>583</v>
      </c>
    </row>
    <row r="190" spans="1:6" x14ac:dyDescent="0.25">
      <c r="A190" s="297">
        <v>43187</v>
      </c>
      <c r="B190" s="11" t="s">
        <v>39</v>
      </c>
      <c r="C190" s="2">
        <v>19201900141</v>
      </c>
      <c r="D190" s="2">
        <v>6.82</v>
      </c>
      <c r="E190" s="226" t="s">
        <v>420</v>
      </c>
      <c r="F190" s="371" t="s">
        <v>584</v>
      </c>
    </row>
    <row r="191" spans="1:6" x14ac:dyDescent="0.25">
      <c r="A191" s="297">
        <v>43187</v>
      </c>
      <c r="B191" s="11" t="s">
        <v>39</v>
      </c>
      <c r="C191" s="2">
        <v>19201900173</v>
      </c>
      <c r="D191" s="2">
        <v>6.65</v>
      </c>
      <c r="E191" s="226" t="s">
        <v>420</v>
      </c>
      <c r="F191" s="371" t="s">
        <v>585</v>
      </c>
    </row>
    <row r="192" spans="1:6" x14ac:dyDescent="0.25">
      <c r="A192" s="297">
        <v>43187</v>
      </c>
      <c r="B192" s="11" t="s">
        <v>39</v>
      </c>
      <c r="C192" s="2">
        <v>19201900137</v>
      </c>
      <c r="D192" s="2">
        <v>5.64</v>
      </c>
      <c r="E192" s="226" t="s">
        <v>420</v>
      </c>
      <c r="F192" s="371" t="s">
        <v>586</v>
      </c>
    </row>
    <row r="193" spans="1:6" x14ac:dyDescent="0.25">
      <c r="A193" s="297">
        <v>43187</v>
      </c>
      <c r="B193" s="11" t="s">
        <v>39</v>
      </c>
      <c r="C193" s="629">
        <v>19201900171</v>
      </c>
      <c r="D193" s="2">
        <v>5.6</v>
      </c>
      <c r="E193" s="226" t="s">
        <v>420</v>
      </c>
      <c r="F193" s="371" t="s">
        <v>587</v>
      </c>
    </row>
    <row r="194" spans="1:6" x14ac:dyDescent="0.25">
      <c r="A194" s="297">
        <v>43810</v>
      </c>
      <c r="B194" s="11" t="s">
        <v>41</v>
      </c>
      <c r="C194" s="715">
        <v>19201901077</v>
      </c>
      <c r="D194" s="619">
        <v>7.5</v>
      </c>
      <c r="E194" s="379" t="s">
        <v>419</v>
      </c>
      <c r="F194" s="371" t="s">
        <v>578</v>
      </c>
    </row>
    <row r="195" spans="1:6" x14ac:dyDescent="0.25">
      <c r="A195" s="297">
        <v>43810</v>
      </c>
      <c r="B195" s="11" t="s">
        <v>41</v>
      </c>
      <c r="C195" s="715">
        <v>19201901093</v>
      </c>
      <c r="D195" s="619">
        <v>7.39</v>
      </c>
      <c r="E195" s="379" t="s">
        <v>419</v>
      </c>
      <c r="F195" s="371" t="s">
        <v>579</v>
      </c>
    </row>
    <row r="196" spans="1:6" x14ac:dyDescent="0.25">
      <c r="A196" s="297">
        <v>43810</v>
      </c>
      <c r="B196" s="11" t="s">
        <v>41</v>
      </c>
      <c r="C196" s="715">
        <v>19201901091</v>
      </c>
      <c r="D196" s="619">
        <v>5.99</v>
      </c>
      <c r="E196" s="379" t="s">
        <v>419</v>
      </c>
      <c r="F196" s="371" t="s">
        <v>580</v>
      </c>
    </row>
    <row r="197" spans="1:6" x14ac:dyDescent="0.25">
      <c r="A197" s="297">
        <v>43810</v>
      </c>
      <c r="B197" s="11" t="s">
        <v>40</v>
      </c>
      <c r="C197" s="715">
        <v>19201901070</v>
      </c>
      <c r="D197" s="695">
        <v>7.29</v>
      </c>
      <c r="E197" s="379" t="s">
        <v>419</v>
      </c>
      <c r="F197" s="5" t="s">
        <v>578</v>
      </c>
    </row>
    <row r="198" spans="1:6" x14ac:dyDescent="0.25">
      <c r="A198" s="297">
        <v>43810</v>
      </c>
      <c r="B198" s="11" t="s">
        <v>40</v>
      </c>
      <c r="C198" s="715">
        <v>19201901073</v>
      </c>
      <c r="D198" s="695">
        <v>7.15</v>
      </c>
      <c r="E198" s="379" t="s">
        <v>419</v>
      </c>
      <c r="F198" s="5" t="s">
        <v>579</v>
      </c>
    </row>
    <row r="199" spans="1:6" x14ac:dyDescent="0.25">
      <c r="A199" s="297">
        <v>43810</v>
      </c>
      <c r="B199" s="11" t="s">
        <v>40</v>
      </c>
      <c r="C199" s="715">
        <v>19201901069</v>
      </c>
      <c r="D199" s="695">
        <v>6.94</v>
      </c>
      <c r="E199" s="379" t="s">
        <v>419</v>
      </c>
      <c r="F199" s="5" t="s">
        <v>580</v>
      </c>
    </row>
    <row r="200" spans="1:6" x14ac:dyDescent="0.25">
      <c r="A200" s="297">
        <v>43810</v>
      </c>
      <c r="B200" s="11" t="s">
        <v>40</v>
      </c>
      <c r="C200" s="715">
        <v>19201901083</v>
      </c>
      <c r="D200" s="695">
        <v>6.88</v>
      </c>
      <c r="E200" s="379" t="s">
        <v>419</v>
      </c>
      <c r="F200" s="5" t="s">
        <v>581</v>
      </c>
    </row>
    <row r="201" spans="1:6" x14ac:dyDescent="0.25">
      <c r="A201" s="297">
        <v>43810</v>
      </c>
      <c r="B201" s="11" t="s">
        <v>40</v>
      </c>
      <c r="C201" s="715">
        <v>19201901071</v>
      </c>
      <c r="D201" s="695">
        <v>6.74</v>
      </c>
      <c r="E201" s="226" t="s">
        <v>420</v>
      </c>
      <c r="F201" s="5" t="s">
        <v>582</v>
      </c>
    </row>
    <row r="202" spans="1:6" x14ac:dyDescent="0.25">
      <c r="A202" s="297">
        <v>43810</v>
      </c>
      <c r="B202" s="11" t="s">
        <v>40</v>
      </c>
      <c r="C202" s="715">
        <v>19201901090</v>
      </c>
      <c r="D202" s="695">
        <v>6.54</v>
      </c>
      <c r="E202" s="226" t="s">
        <v>420</v>
      </c>
      <c r="F202" s="5" t="s">
        <v>583</v>
      </c>
    </row>
    <row r="203" spans="1:6" x14ac:dyDescent="0.25">
      <c r="A203" s="297">
        <v>43810</v>
      </c>
      <c r="B203" s="11" t="s">
        <v>39</v>
      </c>
      <c r="C203" s="715">
        <v>19201901078</v>
      </c>
      <c r="D203" s="619">
        <v>7.94</v>
      </c>
      <c r="E203" s="379" t="s">
        <v>419</v>
      </c>
      <c r="F203" s="5" t="s">
        <v>578</v>
      </c>
    </row>
    <row r="204" spans="1:6" x14ac:dyDescent="0.25">
      <c r="A204" s="297">
        <v>43810</v>
      </c>
      <c r="B204" s="11" t="s">
        <v>39</v>
      </c>
      <c r="C204" s="715">
        <v>19201901087</v>
      </c>
      <c r="D204" s="619">
        <v>7.7</v>
      </c>
      <c r="E204" s="379" t="s">
        <v>419</v>
      </c>
      <c r="F204" s="5" t="s">
        <v>579</v>
      </c>
    </row>
    <row r="205" spans="1:6" x14ac:dyDescent="0.25">
      <c r="A205" s="297">
        <v>43810</v>
      </c>
      <c r="B205" s="11" t="s">
        <v>39</v>
      </c>
      <c r="C205" s="715">
        <v>19201901088</v>
      </c>
      <c r="D205" s="619">
        <v>7.59</v>
      </c>
      <c r="E205" s="379" t="s">
        <v>419</v>
      </c>
      <c r="F205" s="5" t="s">
        <v>580</v>
      </c>
    </row>
    <row r="206" spans="1:6" x14ac:dyDescent="0.25">
      <c r="A206" s="297">
        <v>43810</v>
      </c>
      <c r="B206" s="11" t="s">
        <v>39</v>
      </c>
      <c r="C206" s="715">
        <v>19201901084</v>
      </c>
      <c r="D206" s="619">
        <v>7.56</v>
      </c>
      <c r="E206" s="379" t="s">
        <v>419</v>
      </c>
      <c r="F206" s="5" t="s">
        <v>581</v>
      </c>
    </row>
    <row r="207" spans="1:6" x14ac:dyDescent="0.25">
      <c r="A207" s="297">
        <v>43810</v>
      </c>
      <c r="B207" s="11" t="s">
        <v>39</v>
      </c>
      <c r="C207" s="715">
        <v>19201901082</v>
      </c>
      <c r="D207" s="619">
        <v>7.45</v>
      </c>
      <c r="E207" s="379" t="s">
        <v>419</v>
      </c>
      <c r="F207" s="5" t="s">
        <v>582</v>
      </c>
    </row>
    <row r="208" spans="1:6" x14ac:dyDescent="0.25">
      <c r="A208" s="297">
        <v>43810</v>
      </c>
      <c r="B208" s="11" t="s">
        <v>39</v>
      </c>
      <c r="C208" s="715">
        <v>19201901094</v>
      </c>
      <c r="D208" s="619">
        <v>7.32</v>
      </c>
      <c r="E208" s="379" t="s">
        <v>419</v>
      </c>
      <c r="F208" s="5" t="s">
        <v>583</v>
      </c>
    </row>
    <row r="209" spans="1:6" x14ac:dyDescent="0.25">
      <c r="A209" s="297">
        <v>43810</v>
      </c>
      <c r="B209" s="11" t="s">
        <v>39</v>
      </c>
      <c r="C209" s="715">
        <v>19201901096</v>
      </c>
      <c r="D209" s="619">
        <v>7.24</v>
      </c>
      <c r="E209" s="226" t="s">
        <v>420</v>
      </c>
      <c r="F209" s="5" t="s">
        <v>584</v>
      </c>
    </row>
    <row r="210" spans="1:6" x14ac:dyDescent="0.25">
      <c r="A210" s="297">
        <v>43810</v>
      </c>
      <c r="B210" s="11" t="s">
        <v>39</v>
      </c>
      <c r="C210" s="715">
        <v>19201901075</v>
      </c>
      <c r="D210" s="619">
        <v>7.19</v>
      </c>
      <c r="E210" s="226" t="s">
        <v>1215</v>
      </c>
      <c r="F210" s="5" t="s">
        <v>585</v>
      </c>
    </row>
    <row r="211" spans="1:6" x14ac:dyDescent="0.25">
      <c r="A211" s="297">
        <v>43810</v>
      </c>
      <c r="B211" s="11" t="s">
        <v>39</v>
      </c>
      <c r="C211" s="715">
        <v>19201901074</v>
      </c>
      <c r="D211" s="619">
        <v>7.14</v>
      </c>
      <c r="E211" s="226" t="s">
        <v>420</v>
      </c>
      <c r="F211" s="5" t="s">
        <v>586</v>
      </c>
    </row>
    <row r="212" spans="1:6" x14ac:dyDescent="0.25">
      <c r="A212" s="297">
        <v>43810</v>
      </c>
      <c r="B212" s="11" t="s">
        <v>39</v>
      </c>
      <c r="C212" s="715">
        <v>19201901076</v>
      </c>
      <c r="D212" s="619">
        <v>6.89</v>
      </c>
      <c r="E212" s="226" t="s">
        <v>1215</v>
      </c>
      <c r="F212" s="5" t="s">
        <v>587</v>
      </c>
    </row>
    <row r="213" spans="1:6" x14ac:dyDescent="0.25">
      <c r="A213" s="297">
        <v>43810</v>
      </c>
      <c r="B213" s="11" t="s">
        <v>39</v>
      </c>
      <c r="C213" s="715">
        <v>19201901089</v>
      </c>
      <c r="D213" s="619">
        <v>6.54</v>
      </c>
      <c r="E213" s="226" t="s">
        <v>420</v>
      </c>
      <c r="F213" s="5" t="s">
        <v>588</v>
      </c>
    </row>
    <row r="214" spans="1:6" x14ac:dyDescent="0.25">
      <c r="A214" s="297">
        <v>43810</v>
      </c>
      <c r="B214" s="11" t="s">
        <v>39</v>
      </c>
      <c r="C214" s="715">
        <v>19201901081</v>
      </c>
      <c r="D214" s="619">
        <v>5.45</v>
      </c>
      <c r="E214" s="226" t="s">
        <v>1215</v>
      </c>
      <c r="F214" s="5" t="s">
        <v>589</v>
      </c>
    </row>
    <row r="215" spans="1:6" x14ac:dyDescent="0.25">
      <c r="A215" s="297">
        <v>43810</v>
      </c>
      <c r="B215" s="618" t="s">
        <v>505</v>
      </c>
      <c r="C215" s="715">
        <v>19201901097</v>
      </c>
      <c r="D215" s="619">
        <v>7.74</v>
      </c>
      <c r="E215" s="728" t="s">
        <v>419</v>
      </c>
      <c r="F215" s="5" t="s">
        <v>578</v>
      </c>
    </row>
    <row r="216" spans="1:6" x14ac:dyDescent="0.25">
      <c r="A216" s="297">
        <v>43810</v>
      </c>
      <c r="B216" s="618" t="s">
        <v>505</v>
      </c>
      <c r="C216" s="715">
        <v>19201901072</v>
      </c>
      <c r="D216" s="619">
        <v>7.63</v>
      </c>
      <c r="E216" s="728" t="s">
        <v>419</v>
      </c>
      <c r="F216" s="5" t="s">
        <v>579</v>
      </c>
    </row>
    <row r="217" spans="1:6" x14ac:dyDescent="0.25">
      <c r="A217" s="297">
        <v>43810</v>
      </c>
      <c r="B217" s="618" t="s">
        <v>505</v>
      </c>
      <c r="C217" s="715">
        <v>19201901086</v>
      </c>
      <c r="D217" s="619">
        <v>7.32</v>
      </c>
      <c r="E217" s="728" t="s">
        <v>419</v>
      </c>
      <c r="F217" s="5" t="s">
        <v>580</v>
      </c>
    </row>
    <row r="218" spans="1:6" x14ac:dyDescent="0.25">
      <c r="A218" s="297">
        <v>43810</v>
      </c>
      <c r="B218" s="618" t="s">
        <v>505</v>
      </c>
      <c r="C218" s="715">
        <v>19201901079</v>
      </c>
      <c r="D218" s="619">
        <v>7.02</v>
      </c>
      <c r="E218" s="728" t="s">
        <v>419</v>
      </c>
      <c r="F218" s="5" t="s">
        <v>581</v>
      </c>
    </row>
    <row r="219" spans="1:6" x14ac:dyDescent="0.25">
      <c r="A219" s="297">
        <v>43810</v>
      </c>
      <c r="B219" s="618" t="s">
        <v>505</v>
      </c>
      <c r="C219" s="715">
        <v>19201901098</v>
      </c>
      <c r="D219" s="619">
        <v>6.83</v>
      </c>
      <c r="E219" s="226" t="s">
        <v>420</v>
      </c>
      <c r="F219" s="5" t="s">
        <v>582</v>
      </c>
    </row>
    <row r="220" spans="1:6" x14ac:dyDescent="0.25">
      <c r="A220" s="297">
        <v>43810</v>
      </c>
      <c r="B220" s="618" t="s">
        <v>505</v>
      </c>
      <c r="C220" s="715">
        <v>19201901092</v>
      </c>
      <c r="D220" s="619">
        <v>6.74</v>
      </c>
      <c r="E220" s="226" t="s">
        <v>420</v>
      </c>
      <c r="F220" s="5" t="s">
        <v>583</v>
      </c>
    </row>
    <row r="221" spans="1:6" x14ac:dyDescent="0.25">
      <c r="A221" s="793" t="s">
        <v>1269</v>
      </c>
      <c r="B221" s="11" t="s">
        <v>614</v>
      </c>
      <c r="C221" s="2">
        <v>19202000864</v>
      </c>
      <c r="D221" s="2">
        <v>7.86</v>
      </c>
      <c r="E221" s="225" t="s">
        <v>419</v>
      </c>
      <c r="F221" s="2"/>
    </row>
    <row r="222" spans="1:6" x14ac:dyDescent="0.25">
      <c r="A222" s="793" t="s">
        <v>1269</v>
      </c>
      <c r="B222" s="11" t="s">
        <v>614</v>
      </c>
      <c r="C222" s="2">
        <v>19202000861</v>
      </c>
      <c r="D222" s="2">
        <v>7.55</v>
      </c>
      <c r="E222" s="225" t="s">
        <v>419</v>
      </c>
      <c r="F222" s="2"/>
    </row>
    <row r="223" spans="1:6" x14ac:dyDescent="0.25">
      <c r="A223" s="793" t="s">
        <v>1269</v>
      </c>
      <c r="B223" s="11" t="s">
        <v>614</v>
      </c>
      <c r="C223" s="2">
        <v>19202000872</v>
      </c>
      <c r="D223" s="2">
        <v>7.37</v>
      </c>
      <c r="E223" s="225" t="s">
        <v>419</v>
      </c>
      <c r="F223" s="2"/>
    </row>
    <row r="224" spans="1:6" x14ac:dyDescent="0.25">
      <c r="A224" s="793" t="s">
        <v>1269</v>
      </c>
      <c r="B224" s="11" t="s">
        <v>614</v>
      </c>
      <c r="C224" s="2">
        <v>19202000865</v>
      </c>
      <c r="D224" s="2">
        <v>7.28</v>
      </c>
      <c r="E224" s="225" t="s">
        <v>419</v>
      </c>
      <c r="F224" s="2"/>
    </row>
    <row r="225" spans="1:6" x14ac:dyDescent="0.25">
      <c r="A225" s="793" t="s">
        <v>1269</v>
      </c>
      <c r="B225" s="11" t="s">
        <v>614</v>
      </c>
      <c r="C225" s="2">
        <v>19202000869</v>
      </c>
      <c r="D225" s="2">
        <v>7.26</v>
      </c>
      <c r="E225" s="225" t="s">
        <v>419</v>
      </c>
      <c r="F225" s="2"/>
    </row>
    <row r="226" spans="1:6" x14ac:dyDescent="0.25">
      <c r="A226" s="793" t="s">
        <v>1269</v>
      </c>
      <c r="B226" s="11" t="s">
        <v>614</v>
      </c>
      <c r="C226" s="2">
        <v>19202000870</v>
      </c>
      <c r="D226" s="2">
        <v>7.2</v>
      </c>
      <c r="E226" s="225" t="s">
        <v>419</v>
      </c>
      <c r="F226" s="2"/>
    </row>
    <row r="227" spans="1:6" x14ac:dyDescent="0.25">
      <c r="A227" s="793" t="s">
        <v>1269</v>
      </c>
      <c r="B227" s="11" t="s">
        <v>614</v>
      </c>
      <c r="C227" s="2">
        <v>19202000862</v>
      </c>
      <c r="D227" s="2">
        <v>6.92</v>
      </c>
      <c r="E227" s="225" t="s">
        <v>419</v>
      </c>
      <c r="F227" s="2"/>
    </row>
    <row r="228" spans="1:6" x14ac:dyDescent="0.25">
      <c r="A228" s="793" t="s">
        <v>1269</v>
      </c>
      <c r="B228" s="11" t="s">
        <v>614</v>
      </c>
      <c r="C228" s="2">
        <v>19202000873</v>
      </c>
      <c r="D228" s="2">
        <v>6.7</v>
      </c>
      <c r="E228" s="225" t="s">
        <v>419</v>
      </c>
      <c r="F228" s="2"/>
    </row>
    <row r="229" spans="1:6" x14ac:dyDescent="0.25">
      <c r="A229" s="793" t="s">
        <v>1269</v>
      </c>
      <c r="B229" s="11" t="s">
        <v>614</v>
      </c>
      <c r="C229" s="2">
        <v>19202000863</v>
      </c>
      <c r="D229" s="2">
        <v>6.57</v>
      </c>
      <c r="E229" s="225" t="s">
        <v>419</v>
      </c>
      <c r="F229" s="2"/>
    </row>
    <row r="230" spans="1:6" x14ac:dyDescent="0.25">
      <c r="A230" s="793" t="s">
        <v>1269</v>
      </c>
      <c r="B230" s="11" t="s">
        <v>614</v>
      </c>
      <c r="C230" s="2">
        <v>19202000859</v>
      </c>
      <c r="D230" s="2">
        <v>6.51</v>
      </c>
      <c r="E230" s="226" t="s">
        <v>420</v>
      </c>
      <c r="F230" s="2"/>
    </row>
    <row r="231" spans="1:6" x14ac:dyDescent="0.25">
      <c r="A231" s="793" t="s">
        <v>1269</v>
      </c>
      <c r="B231" s="11" t="s">
        <v>614</v>
      </c>
      <c r="C231" s="2">
        <v>19202000871</v>
      </c>
      <c r="D231" s="2">
        <v>6.4</v>
      </c>
      <c r="E231" s="226" t="s">
        <v>420</v>
      </c>
      <c r="F231" s="2"/>
    </row>
    <row r="232" spans="1:6" x14ac:dyDescent="0.25">
      <c r="A232" s="793" t="s">
        <v>1269</v>
      </c>
      <c r="B232" s="11" t="s">
        <v>614</v>
      </c>
      <c r="C232" s="2">
        <v>19202000868</v>
      </c>
      <c r="D232" s="2">
        <v>6.37</v>
      </c>
      <c r="E232" s="226" t="s">
        <v>420</v>
      </c>
      <c r="F232" s="2"/>
    </row>
    <row r="233" spans="1:6" x14ac:dyDescent="0.25">
      <c r="A233" s="793" t="s">
        <v>1269</v>
      </c>
      <c r="B233" s="11" t="s">
        <v>614</v>
      </c>
      <c r="C233" s="2">
        <v>19202000866</v>
      </c>
      <c r="D233" s="2">
        <v>5.58</v>
      </c>
      <c r="E233" s="226" t="s">
        <v>420</v>
      </c>
      <c r="F233" s="2"/>
    </row>
    <row r="234" spans="1:6" x14ac:dyDescent="0.25">
      <c r="A234" s="793" t="s">
        <v>1269</v>
      </c>
      <c r="B234" s="480" t="s">
        <v>614</v>
      </c>
      <c r="C234" s="179">
        <v>19202000860</v>
      </c>
      <c r="D234" s="179">
        <v>5.56</v>
      </c>
      <c r="E234" s="383" t="s">
        <v>420</v>
      </c>
      <c r="F234" s="179"/>
    </row>
    <row r="235" spans="1:6" x14ac:dyDescent="0.25">
      <c r="A235" s="799" t="s">
        <v>1315</v>
      </c>
      <c r="B235" s="2" t="s">
        <v>1316</v>
      </c>
      <c r="C235" s="2">
        <v>19202100357</v>
      </c>
      <c r="D235" s="2">
        <v>7.84</v>
      </c>
      <c r="E235" s="225" t="s">
        <v>419</v>
      </c>
      <c r="F235" s="2"/>
    </row>
    <row r="236" spans="1:6" x14ac:dyDescent="0.25">
      <c r="A236" s="799" t="s">
        <v>1315</v>
      </c>
      <c r="B236" s="2" t="s">
        <v>1316</v>
      </c>
      <c r="C236" s="2">
        <v>19202100383</v>
      </c>
      <c r="D236" s="2">
        <v>7.22</v>
      </c>
      <c r="E236" s="225" t="s">
        <v>419</v>
      </c>
      <c r="F236" s="2"/>
    </row>
    <row r="237" spans="1:6" x14ac:dyDescent="0.25">
      <c r="A237" s="799" t="s">
        <v>1315</v>
      </c>
      <c r="B237" s="2" t="s">
        <v>1316</v>
      </c>
      <c r="C237" s="2">
        <v>19202100364</v>
      </c>
      <c r="D237" s="2">
        <v>7.2</v>
      </c>
      <c r="E237" s="225" t="s">
        <v>419</v>
      </c>
      <c r="F237" s="2"/>
    </row>
    <row r="238" spans="1:6" x14ac:dyDescent="0.25">
      <c r="A238" s="799" t="s">
        <v>1315</v>
      </c>
      <c r="B238" s="2" t="s">
        <v>1316</v>
      </c>
      <c r="C238" s="2">
        <v>19202100355</v>
      </c>
      <c r="D238" s="2">
        <v>6.87</v>
      </c>
      <c r="E238" s="225" t="s">
        <v>419</v>
      </c>
      <c r="F238" s="2"/>
    </row>
    <row r="239" spans="1:6" x14ac:dyDescent="0.25">
      <c r="A239" s="799" t="s">
        <v>1315</v>
      </c>
      <c r="B239" s="2" t="s">
        <v>1316</v>
      </c>
      <c r="C239" s="2">
        <v>19202100371</v>
      </c>
      <c r="D239" s="2">
        <v>6.77</v>
      </c>
      <c r="E239" s="225" t="s">
        <v>419</v>
      </c>
      <c r="F239" s="2"/>
    </row>
    <row r="240" spans="1:6" x14ac:dyDescent="0.25">
      <c r="A240" s="799" t="s">
        <v>1315</v>
      </c>
      <c r="B240" s="2" t="s">
        <v>1316</v>
      </c>
      <c r="C240" s="2">
        <v>19202100362</v>
      </c>
      <c r="D240" s="2">
        <v>6.74</v>
      </c>
      <c r="E240" s="225" t="s">
        <v>419</v>
      </c>
      <c r="F240" s="2"/>
    </row>
    <row r="241" spans="1:6" x14ac:dyDescent="0.25">
      <c r="A241" s="799" t="s">
        <v>1315</v>
      </c>
      <c r="B241" s="2" t="s">
        <v>1316</v>
      </c>
      <c r="C241" s="2">
        <v>19202100384</v>
      </c>
      <c r="D241" s="2">
        <v>5.7</v>
      </c>
      <c r="E241" s="225" t="s">
        <v>419</v>
      </c>
      <c r="F241" s="2"/>
    </row>
    <row r="242" spans="1:6" x14ac:dyDescent="0.25">
      <c r="A242" s="799" t="s">
        <v>1315</v>
      </c>
      <c r="B242" s="2" t="s">
        <v>1316</v>
      </c>
      <c r="C242" s="2">
        <v>19202100382</v>
      </c>
      <c r="D242" s="2">
        <v>5.67</v>
      </c>
      <c r="E242" s="225" t="s">
        <v>419</v>
      </c>
      <c r="F242" s="2"/>
    </row>
    <row r="243" spans="1:6" x14ac:dyDescent="0.25">
      <c r="A243" s="799" t="s">
        <v>1315</v>
      </c>
      <c r="B243" s="2" t="s">
        <v>1316</v>
      </c>
      <c r="C243" s="2">
        <v>19202100365</v>
      </c>
      <c r="D243" s="2">
        <v>5.39</v>
      </c>
      <c r="E243" s="225" t="s">
        <v>419</v>
      </c>
      <c r="F243" s="2"/>
    </row>
    <row r="244" spans="1:6" x14ac:dyDescent="0.25">
      <c r="A244" s="799" t="s">
        <v>1315</v>
      </c>
      <c r="B244" s="2" t="s">
        <v>1316</v>
      </c>
      <c r="C244" s="2">
        <v>19202100386</v>
      </c>
      <c r="D244" s="2">
        <v>5.23</v>
      </c>
      <c r="E244" s="225" t="s">
        <v>419</v>
      </c>
      <c r="F244" s="2"/>
    </row>
    <row r="245" spans="1:6" x14ac:dyDescent="0.25">
      <c r="A245" s="799" t="s">
        <v>1315</v>
      </c>
      <c r="B245" s="2" t="s">
        <v>1316</v>
      </c>
      <c r="C245" s="2">
        <v>19202100385</v>
      </c>
      <c r="D245" s="2">
        <v>2.13</v>
      </c>
      <c r="E245" s="226" t="s">
        <v>420</v>
      </c>
      <c r="F245" s="2"/>
    </row>
    <row r="246" spans="1:6" x14ac:dyDescent="0.25">
      <c r="A246" s="824" t="s">
        <v>1405</v>
      </c>
      <c r="B246" t="s">
        <v>1404</v>
      </c>
      <c r="C246" s="647">
        <v>19202101143</v>
      </c>
      <c r="D246" s="647">
        <v>7.27</v>
      </c>
      <c r="E246" s="225" t="s">
        <v>419</v>
      </c>
    </row>
    <row r="247" spans="1:6" x14ac:dyDescent="0.25">
      <c r="A247" s="824" t="s">
        <v>1405</v>
      </c>
      <c r="B247" s="647" t="s">
        <v>1404</v>
      </c>
      <c r="C247" s="647">
        <v>19202101086</v>
      </c>
      <c r="D247" s="647">
        <v>7.24</v>
      </c>
      <c r="E247" s="225" t="s">
        <v>419</v>
      </c>
    </row>
    <row r="248" spans="1:6" x14ac:dyDescent="0.25">
      <c r="A248" s="824" t="s">
        <v>1405</v>
      </c>
      <c r="B248" s="647" t="s">
        <v>1404</v>
      </c>
      <c r="C248" s="647">
        <v>19202101129</v>
      </c>
      <c r="D248" s="647">
        <v>7.22</v>
      </c>
      <c r="E248" s="225" t="s">
        <v>419</v>
      </c>
    </row>
    <row r="249" spans="1:6" x14ac:dyDescent="0.25">
      <c r="A249" s="824" t="s">
        <v>1405</v>
      </c>
      <c r="B249" s="647" t="s">
        <v>1404</v>
      </c>
      <c r="C249" s="647">
        <v>19202101107</v>
      </c>
      <c r="D249" s="647">
        <v>7.21</v>
      </c>
      <c r="E249" s="225" t="s">
        <v>419</v>
      </c>
    </row>
    <row r="250" spans="1:6" x14ac:dyDescent="0.25">
      <c r="A250" s="824" t="s">
        <v>1405</v>
      </c>
      <c r="B250" s="647" t="s">
        <v>1404</v>
      </c>
      <c r="C250" s="647">
        <v>19202101090</v>
      </c>
      <c r="D250" s="647">
        <v>7.03</v>
      </c>
      <c r="E250" s="225" t="s">
        <v>419</v>
      </c>
    </row>
    <row r="251" spans="1:6" x14ac:dyDescent="0.25">
      <c r="A251" s="824" t="s">
        <v>1405</v>
      </c>
      <c r="B251" s="647" t="s">
        <v>1404</v>
      </c>
      <c r="C251" s="647">
        <v>19202101099</v>
      </c>
      <c r="D251" s="647">
        <v>6.9</v>
      </c>
      <c r="E251" s="225" t="s">
        <v>419</v>
      </c>
    </row>
    <row r="252" spans="1:6" x14ac:dyDescent="0.25">
      <c r="A252" s="824" t="s">
        <v>1405</v>
      </c>
      <c r="B252" s="647" t="s">
        <v>1404</v>
      </c>
      <c r="C252" s="647">
        <v>19202101127</v>
      </c>
      <c r="D252" s="647">
        <v>6.83</v>
      </c>
      <c r="E252" s="225" t="s">
        <v>419</v>
      </c>
    </row>
    <row r="253" spans="1:6" x14ac:dyDescent="0.25">
      <c r="A253" s="824" t="s">
        <v>1405</v>
      </c>
      <c r="B253" s="647" t="s">
        <v>1404</v>
      </c>
      <c r="C253" s="647">
        <v>19202101119</v>
      </c>
      <c r="D253" s="647">
        <v>6.79</v>
      </c>
      <c r="E253" s="225" t="s">
        <v>419</v>
      </c>
    </row>
    <row r="254" spans="1:6" x14ac:dyDescent="0.25">
      <c r="A254" s="824" t="s">
        <v>1405</v>
      </c>
      <c r="B254" s="647" t="s">
        <v>1404</v>
      </c>
      <c r="C254" s="647">
        <v>19202101092</v>
      </c>
      <c r="D254" s="647">
        <v>6.61</v>
      </c>
      <c r="E254" s="225" t="s">
        <v>419</v>
      </c>
    </row>
    <row r="255" spans="1:6" x14ac:dyDescent="0.25">
      <c r="A255" s="824" t="s">
        <v>1405</v>
      </c>
      <c r="B255" s="647" t="s">
        <v>1404</v>
      </c>
      <c r="C255" s="647">
        <v>19202101094</v>
      </c>
      <c r="D255" s="647">
        <v>6.54</v>
      </c>
      <c r="E255" s="225" t="s">
        <v>419</v>
      </c>
    </row>
    <row r="256" spans="1:6" x14ac:dyDescent="0.25">
      <c r="A256" s="824" t="s">
        <v>1405</v>
      </c>
      <c r="B256" s="647" t="s">
        <v>1404</v>
      </c>
      <c r="C256" s="647">
        <v>19202101115</v>
      </c>
      <c r="D256" s="647">
        <v>6.41</v>
      </c>
      <c r="E256" s="225" t="s">
        <v>419</v>
      </c>
    </row>
    <row r="257" spans="1:5" x14ac:dyDescent="0.25">
      <c r="A257" s="824" t="s">
        <v>1405</v>
      </c>
      <c r="B257" s="647" t="s">
        <v>1404</v>
      </c>
      <c r="C257" s="647">
        <v>19202101097</v>
      </c>
      <c r="D257" s="647">
        <v>6.38</v>
      </c>
      <c r="E257" s="225" t="s">
        <v>419</v>
      </c>
    </row>
    <row r="258" spans="1:5" x14ac:dyDescent="0.25">
      <c r="A258" s="824" t="s">
        <v>1405</v>
      </c>
      <c r="B258" s="647" t="s">
        <v>1404</v>
      </c>
      <c r="C258" s="647">
        <v>19202101131</v>
      </c>
      <c r="D258" s="647">
        <v>6.35</v>
      </c>
      <c r="E258" s="225" t="s">
        <v>419</v>
      </c>
    </row>
    <row r="259" spans="1:5" x14ac:dyDescent="0.25">
      <c r="A259" s="824" t="s">
        <v>1405</v>
      </c>
      <c r="B259" s="647" t="s">
        <v>1404</v>
      </c>
      <c r="C259" s="647">
        <v>19202101124</v>
      </c>
      <c r="D259" s="647">
        <v>6.34</v>
      </c>
      <c r="E259" s="225" t="s">
        <v>419</v>
      </c>
    </row>
    <row r="260" spans="1:5" x14ac:dyDescent="0.25">
      <c r="A260" s="824" t="s">
        <v>1405</v>
      </c>
      <c r="B260" s="647" t="s">
        <v>1404</v>
      </c>
      <c r="C260" s="647">
        <v>19202101122</v>
      </c>
      <c r="D260" s="647">
        <v>6.31</v>
      </c>
      <c r="E260" s="225" t="s">
        <v>419</v>
      </c>
    </row>
    <row r="261" spans="1:5" x14ac:dyDescent="0.25">
      <c r="A261" s="824" t="s">
        <v>1405</v>
      </c>
      <c r="B261" s="647" t="s">
        <v>1404</v>
      </c>
      <c r="C261" s="647">
        <v>19202101105</v>
      </c>
      <c r="D261" s="647">
        <v>6.29</v>
      </c>
      <c r="E261" s="225" t="s">
        <v>419</v>
      </c>
    </row>
    <row r="262" spans="1:5" x14ac:dyDescent="0.25">
      <c r="A262" s="824" t="s">
        <v>1405</v>
      </c>
      <c r="B262" s="647" t="s">
        <v>1404</v>
      </c>
      <c r="C262" s="647">
        <v>19202101125</v>
      </c>
      <c r="D262" s="647">
        <v>6.04</v>
      </c>
      <c r="E262" s="226" t="s">
        <v>420</v>
      </c>
    </row>
    <row r="263" spans="1:5" x14ac:dyDescent="0.25">
      <c r="A263" s="824" t="s">
        <v>1405</v>
      </c>
      <c r="B263" s="647" t="s">
        <v>1404</v>
      </c>
      <c r="C263" s="647">
        <v>19202101125</v>
      </c>
      <c r="D263" s="647">
        <v>6.01</v>
      </c>
      <c r="E263" s="226" t="s">
        <v>420</v>
      </c>
    </row>
    <row r="264" spans="1:5" x14ac:dyDescent="0.25">
      <c r="A264" s="824" t="s">
        <v>1405</v>
      </c>
      <c r="B264" s="647" t="s">
        <v>1404</v>
      </c>
      <c r="C264" s="647">
        <v>19202101125</v>
      </c>
      <c r="D264" s="647">
        <v>6</v>
      </c>
      <c r="E264" s="226" t="s">
        <v>420</v>
      </c>
    </row>
    <row r="265" spans="1:5" x14ac:dyDescent="0.25">
      <c r="A265" s="824" t="s">
        <v>1405</v>
      </c>
      <c r="B265" s="647" t="s">
        <v>1404</v>
      </c>
      <c r="C265" s="647">
        <v>19202101125</v>
      </c>
      <c r="D265" s="647">
        <v>5.97</v>
      </c>
      <c r="E265" s="226" t="s">
        <v>420</v>
      </c>
    </row>
    <row r="266" spans="1:5" x14ac:dyDescent="0.25">
      <c r="A266" s="824" t="s">
        <v>1405</v>
      </c>
      <c r="B266" s="647" t="s">
        <v>1404</v>
      </c>
      <c r="C266" s="647">
        <v>19202101140</v>
      </c>
      <c r="D266" s="647">
        <v>5.95</v>
      </c>
      <c r="E266" s="226" t="s">
        <v>420</v>
      </c>
    </row>
    <row r="267" spans="1:5" x14ac:dyDescent="0.25">
      <c r="A267" s="824" t="s">
        <v>1405</v>
      </c>
      <c r="B267" s="647" t="s">
        <v>1404</v>
      </c>
      <c r="C267" s="647">
        <v>19202101118</v>
      </c>
      <c r="D267" s="647">
        <v>5.82</v>
      </c>
      <c r="E267" s="226" t="s">
        <v>420</v>
      </c>
    </row>
    <row r="268" spans="1:5" x14ac:dyDescent="0.25">
      <c r="A268" s="824" t="s">
        <v>1405</v>
      </c>
      <c r="B268" s="647" t="s">
        <v>1404</v>
      </c>
      <c r="C268" s="647">
        <v>19202101091</v>
      </c>
      <c r="D268" s="647">
        <v>5.73</v>
      </c>
      <c r="E268" s="226" t="s">
        <v>420</v>
      </c>
    </row>
    <row r="269" spans="1:5" x14ac:dyDescent="0.25">
      <c r="A269" s="824" t="s">
        <v>1405</v>
      </c>
      <c r="B269" s="647" t="s">
        <v>1404</v>
      </c>
      <c r="C269" s="647">
        <v>19202101044</v>
      </c>
      <c r="D269" s="647">
        <v>5.71</v>
      </c>
      <c r="E269" s="226" t="s">
        <v>420</v>
      </c>
    </row>
    <row r="270" spans="1:5" x14ac:dyDescent="0.25">
      <c r="A270" t="s">
        <v>1406</v>
      </c>
      <c r="B270" t="s">
        <v>1407</v>
      </c>
      <c r="C270" s="647">
        <v>19202101070</v>
      </c>
      <c r="D270" s="647">
        <v>7.3</v>
      </c>
      <c r="E270" s="225" t="s">
        <v>419</v>
      </c>
    </row>
    <row r="271" spans="1:5" x14ac:dyDescent="0.25">
      <c r="A271" s="647" t="s">
        <v>1406</v>
      </c>
      <c r="B271" s="647" t="s">
        <v>1407</v>
      </c>
      <c r="C271" s="647">
        <v>19202101085</v>
      </c>
      <c r="D271" s="647">
        <v>6.05</v>
      </c>
      <c r="E271" s="225" t="s">
        <v>419</v>
      </c>
    </row>
    <row r="272" spans="1:5" x14ac:dyDescent="0.25">
      <c r="A272" s="647" t="s">
        <v>1406</v>
      </c>
      <c r="B272" s="647" t="s">
        <v>1407</v>
      </c>
      <c r="C272" s="647">
        <v>19202101117</v>
      </c>
      <c r="D272" s="647">
        <v>5.95</v>
      </c>
      <c r="E272" s="225" t="s">
        <v>419</v>
      </c>
    </row>
    <row r="273" spans="1:5" x14ac:dyDescent="0.25">
      <c r="A273" s="647" t="s">
        <v>1406</v>
      </c>
      <c r="B273" s="647" t="s">
        <v>1407</v>
      </c>
      <c r="C273" s="647">
        <v>19202101138</v>
      </c>
      <c r="D273" s="647">
        <v>5.64</v>
      </c>
      <c r="E273" s="225" t="s">
        <v>419</v>
      </c>
    </row>
    <row r="274" spans="1:5" x14ac:dyDescent="0.25">
      <c r="A274" s="647" t="s">
        <v>1406</v>
      </c>
      <c r="B274" s="647" t="s">
        <v>1407</v>
      </c>
      <c r="C274" s="647">
        <v>19202101093</v>
      </c>
      <c r="D274" s="647">
        <v>5.3</v>
      </c>
      <c r="E274" s="225" t="s">
        <v>419</v>
      </c>
    </row>
    <row r="275" spans="1:5" x14ac:dyDescent="0.25">
      <c r="A275" s="647" t="s">
        <v>1406</v>
      </c>
      <c r="B275" s="647" t="s">
        <v>1407</v>
      </c>
      <c r="C275" s="647">
        <v>19202101106</v>
      </c>
      <c r="D275" s="647">
        <v>5.26</v>
      </c>
      <c r="E275" s="225" t="s">
        <v>419</v>
      </c>
    </row>
    <row r="276" spans="1:5" x14ac:dyDescent="0.25">
      <c r="A276" s="647" t="s">
        <v>1406</v>
      </c>
      <c r="B276" t="s">
        <v>1408</v>
      </c>
      <c r="C276" s="647">
        <v>19202101088</v>
      </c>
      <c r="D276" s="647">
        <v>8.49</v>
      </c>
      <c r="E276" s="225" t="s">
        <v>419</v>
      </c>
    </row>
    <row r="277" spans="1:5" x14ac:dyDescent="0.25">
      <c r="A277" s="647" t="s">
        <v>1406</v>
      </c>
      <c r="B277" s="647" t="s">
        <v>1408</v>
      </c>
      <c r="C277" s="647">
        <v>19202101120</v>
      </c>
      <c r="D277" s="647">
        <v>8.17</v>
      </c>
      <c r="E277" s="225" t="s">
        <v>419</v>
      </c>
    </row>
    <row r="278" spans="1:5" x14ac:dyDescent="0.25">
      <c r="A278" s="647" t="s">
        <v>1406</v>
      </c>
      <c r="B278" s="647" t="s">
        <v>1408</v>
      </c>
      <c r="C278" s="647">
        <v>19202101135</v>
      </c>
      <c r="D278" s="647">
        <v>8.14</v>
      </c>
      <c r="E278" s="225" t="s">
        <v>419</v>
      </c>
    </row>
    <row r="279" spans="1:5" x14ac:dyDescent="0.25">
      <c r="A279" s="647" t="s">
        <v>1406</v>
      </c>
      <c r="B279" s="647" t="s">
        <v>1408</v>
      </c>
      <c r="C279" s="647">
        <v>19202101104</v>
      </c>
      <c r="D279" s="647">
        <v>8.02</v>
      </c>
      <c r="E279" s="225" t="s">
        <v>419</v>
      </c>
    </row>
    <row r="280" spans="1:5" x14ac:dyDescent="0.25">
      <c r="A280" s="647" t="s">
        <v>1406</v>
      </c>
      <c r="B280" s="647" t="s">
        <v>1408</v>
      </c>
      <c r="C280" s="647">
        <v>19202101137</v>
      </c>
      <c r="D280" s="647">
        <v>7.99</v>
      </c>
      <c r="E280" s="225" t="s">
        <v>419</v>
      </c>
    </row>
    <row r="281" spans="1:5" x14ac:dyDescent="0.25">
      <c r="A281" s="647" t="s">
        <v>1406</v>
      </c>
      <c r="B281" s="647" t="s">
        <v>1408</v>
      </c>
      <c r="C281" s="647">
        <v>19202101142</v>
      </c>
      <c r="D281" s="647">
        <v>7.75</v>
      </c>
      <c r="E281" s="225" t="s">
        <v>419</v>
      </c>
    </row>
    <row r="282" spans="1:5" x14ac:dyDescent="0.25">
      <c r="A282" s="647" t="s">
        <v>1406</v>
      </c>
      <c r="B282" s="647" t="s">
        <v>1408</v>
      </c>
      <c r="C282" s="647">
        <v>19202101134</v>
      </c>
      <c r="D282" s="647">
        <v>7.7</v>
      </c>
      <c r="E282" s="225" t="s">
        <v>419</v>
      </c>
    </row>
    <row r="283" spans="1:5" x14ac:dyDescent="0.25">
      <c r="A283" s="647" t="s">
        <v>1406</v>
      </c>
      <c r="B283" s="647" t="s">
        <v>1408</v>
      </c>
      <c r="C283" s="647">
        <v>19202101087</v>
      </c>
      <c r="D283" s="647">
        <v>7.67</v>
      </c>
      <c r="E283" s="225" t="s">
        <v>419</v>
      </c>
    </row>
    <row r="284" spans="1:5" x14ac:dyDescent="0.25">
      <c r="A284" s="647" t="s">
        <v>1406</v>
      </c>
      <c r="B284" s="647" t="s">
        <v>1408</v>
      </c>
      <c r="C284" s="647">
        <v>19202101112</v>
      </c>
      <c r="D284" s="647">
        <v>7.5</v>
      </c>
      <c r="E284" s="225" t="s">
        <v>419</v>
      </c>
    </row>
    <row r="285" spans="1:5" x14ac:dyDescent="0.25">
      <c r="A285" s="647" t="s">
        <v>1406</v>
      </c>
      <c r="B285" s="647" t="s">
        <v>1408</v>
      </c>
      <c r="C285" s="647">
        <v>19202101096</v>
      </c>
      <c r="D285" s="647">
        <v>7.14</v>
      </c>
      <c r="E285" s="225" t="s">
        <v>419</v>
      </c>
    </row>
    <row r="286" spans="1:5" x14ac:dyDescent="0.25">
      <c r="A286" s="647" t="s">
        <v>1406</v>
      </c>
      <c r="B286" s="647" t="s">
        <v>1408</v>
      </c>
      <c r="C286" s="647">
        <v>19202101110</v>
      </c>
      <c r="D286" s="647">
        <v>5.82</v>
      </c>
      <c r="E286" s="226" t="s">
        <v>420</v>
      </c>
    </row>
    <row r="287" spans="1:5" x14ac:dyDescent="0.25">
      <c r="A287" s="647" t="s">
        <v>1406</v>
      </c>
      <c r="B287" t="s">
        <v>1409</v>
      </c>
      <c r="C287" s="647">
        <v>19202101133</v>
      </c>
      <c r="D287" s="647">
        <v>7.66</v>
      </c>
      <c r="E287" s="225" t="s">
        <v>419</v>
      </c>
    </row>
    <row r="288" spans="1:5" x14ac:dyDescent="0.25">
      <c r="A288" s="647" t="s">
        <v>1406</v>
      </c>
      <c r="B288" s="647" t="s">
        <v>1409</v>
      </c>
      <c r="C288" s="647">
        <v>19202101109</v>
      </c>
      <c r="D288" s="647">
        <v>7.57</v>
      </c>
      <c r="E288" s="225" t="s">
        <v>419</v>
      </c>
    </row>
    <row r="289" spans="1:5" x14ac:dyDescent="0.25">
      <c r="A289" s="647" t="s">
        <v>1406</v>
      </c>
      <c r="B289" s="647" t="s">
        <v>1409</v>
      </c>
      <c r="C289" s="647">
        <v>19202101116</v>
      </c>
      <c r="D289" s="647">
        <v>7.4</v>
      </c>
      <c r="E289" s="225" t="s">
        <v>419</v>
      </c>
    </row>
    <row r="290" spans="1:5" x14ac:dyDescent="0.25">
      <c r="A290" s="647" t="s">
        <v>1406</v>
      </c>
      <c r="B290" s="647" t="s">
        <v>1409</v>
      </c>
      <c r="C290" s="647">
        <v>19202101061</v>
      </c>
      <c r="D290" s="647">
        <v>6.74</v>
      </c>
      <c r="E290" s="225" t="s">
        <v>419</v>
      </c>
    </row>
    <row r="291" spans="1:5" x14ac:dyDescent="0.25">
      <c r="A291" s="647" t="s">
        <v>1406</v>
      </c>
      <c r="B291" s="647" t="s">
        <v>1409</v>
      </c>
      <c r="C291" s="647">
        <v>19202101098</v>
      </c>
      <c r="D291" s="647">
        <v>6.59</v>
      </c>
      <c r="E291" s="225" t="s">
        <v>419</v>
      </c>
    </row>
    <row r="292" spans="1:5" x14ac:dyDescent="0.25">
      <c r="A292" s="647" t="s">
        <v>1406</v>
      </c>
      <c r="B292" s="647" t="s">
        <v>1409</v>
      </c>
      <c r="C292" s="647">
        <v>19202101049</v>
      </c>
      <c r="D292" s="647">
        <v>6.47</v>
      </c>
      <c r="E292" s="225" t="s">
        <v>419</v>
      </c>
    </row>
    <row r="293" spans="1:5" x14ac:dyDescent="0.25">
      <c r="A293" s="647" t="s">
        <v>1406</v>
      </c>
      <c r="B293" s="647" t="s">
        <v>1409</v>
      </c>
      <c r="C293" s="647">
        <v>19202101102</v>
      </c>
      <c r="D293" s="647">
        <v>5.97</v>
      </c>
      <c r="E293" s="225" t="s">
        <v>419</v>
      </c>
    </row>
    <row r="294" spans="1:5" x14ac:dyDescent="0.25">
      <c r="A294" s="647" t="s">
        <v>1406</v>
      </c>
      <c r="B294" s="647" t="s">
        <v>1409</v>
      </c>
      <c r="C294" s="647">
        <v>19202101059</v>
      </c>
      <c r="D294" s="647">
        <v>5.67</v>
      </c>
      <c r="E294" s="225" t="s">
        <v>419</v>
      </c>
    </row>
    <row r="295" spans="1:5" x14ac:dyDescent="0.25">
      <c r="A295" s="647" t="s">
        <v>1406</v>
      </c>
      <c r="B295" t="s">
        <v>1410</v>
      </c>
      <c r="C295" s="647">
        <v>19202101066</v>
      </c>
      <c r="D295" s="647">
        <v>8.64</v>
      </c>
      <c r="E295" s="225" t="s">
        <v>419</v>
      </c>
    </row>
    <row r="296" spans="1:5" x14ac:dyDescent="0.25">
      <c r="A296" s="647" t="s">
        <v>1406</v>
      </c>
      <c r="B296" s="647" t="s">
        <v>1410</v>
      </c>
      <c r="C296" s="647">
        <v>19202101113</v>
      </c>
      <c r="D296" s="647">
        <v>8.52</v>
      </c>
      <c r="E296" s="225" t="s">
        <v>419</v>
      </c>
    </row>
  </sheetData>
  <mergeCells count="1">
    <mergeCell ref="A1:E1"/>
  </mergeCells>
  <hyperlinks>
    <hyperlink ref="C194" r:id="rId1" location="/router?komponent=taotlus&amp;id=796149&amp;kuva=ava" display="https://pms.arib.pria.ee/pms-menetlus/ - /router?komponent=taotlus&amp;id=796149&amp;kuva=ava"/>
    <hyperlink ref="C195" r:id="rId2" location="/router?komponent=taotlus&amp;id=799272&amp;kuva=ava" display="https://pms.arib.pria.ee/pms-menetlus/ - /router?komponent=taotlus&amp;id=799272&amp;kuva=ava"/>
    <hyperlink ref="C196" r:id="rId3" location="/router?komponent=taotlus&amp;id=794624&amp;kuva=ava" display="https://pms.arib.pria.ee/pms-menetlus/ - /router?komponent=taotlus&amp;id=794624&amp;kuva=ava"/>
    <hyperlink ref="C198" r:id="rId4" location="/router?komponent=taotlus&amp;id=797698&amp;kuva=ava" display="https://pms.arib.pria.ee/pms-menetlus/ - /router?komponent=taotlus&amp;id=797698&amp;kuva=ava"/>
    <hyperlink ref="C199" r:id="rId5" location="/router?komponent=taotlus&amp;id=791777&amp;kuva=ava" display="https://pms.arib.pria.ee/pms-menetlus/ - /router?komponent=taotlus&amp;id=791777&amp;kuva=ava"/>
    <hyperlink ref="C200" r:id="rId6" location="/router?komponent=taotlus&amp;id=791723&amp;kuva=ava" display="https://pms.arib.pria.ee/pms-menetlus/ - /router?komponent=taotlus&amp;id=791723&amp;kuva=ava"/>
    <hyperlink ref="C201" r:id="rId7" location="/router?komponent=taotlus&amp;id=791722&amp;kuva=ava" display="https://pms.arib.pria.ee/pms-menetlus/ - /router?komponent=taotlus&amp;id=791722&amp;kuva=ava"/>
    <hyperlink ref="C202" r:id="rId8" location="/router?komponent=taotlus&amp;id=798543&amp;kuva=ava" display="/router?komponent=taotlus&amp;id=798543&amp;kuva=ava"/>
    <hyperlink ref="C197" r:id="rId9" location="/router?komponent=taotlus&amp;id=793677&amp;kuva=ava" display="/router?komponent=taotlus&amp;id=793677&amp;kuva=ava"/>
    <hyperlink ref="C203" r:id="rId10" location="/router?komponent=taotlus&amp;id=798256&amp;kuva=ava" display="https://pms.arib.pria.ee/pms-menetlus/ - /router?komponent=taotlus&amp;id=798256&amp;kuva=ava"/>
    <hyperlink ref="C204" r:id="rId11" location="/router?komponent=taotlus&amp;id=799407&amp;kuva=ava" display="https://pms.arib.pria.ee/pms-menetlus/ - /router?komponent=taotlus&amp;id=799407&amp;kuva=ava"/>
    <hyperlink ref="C205" r:id="rId12" location="/router?komponent=taotlus&amp;id=798259&amp;kuva=ava" display="https://pms.arib.pria.ee/pms-menetlus/ - /router?komponent=taotlus&amp;id=798259&amp;kuva=ava"/>
    <hyperlink ref="C206" r:id="rId13" location="/router?komponent=taotlus&amp;id=791772&amp;kuva=ava" display="https://pms.arib.pria.ee/pms-menetlus/ - /router?komponent=taotlus&amp;id=791772&amp;kuva=ava"/>
    <hyperlink ref="C207" r:id="rId14" location="/router?komponent=taotlus&amp;id=794337&amp;kuva=ava" display="https://pms.arib.pria.ee/pms-menetlus/ - /router?komponent=taotlus&amp;id=794337&amp;kuva=ava"/>
    <hyperlink ref="C208" r:id="rId15" location="/router?komponent=taotlus&amp;id=793188&amp;kuva=ava" display="https://pms.arib.pria.ee/pms-menetlus/ - /router?komponent=taotlus&amp;id=793188&amp;kuva=ava"/>
    <hyperlink ref="C209" r:id="rId16" location="/router?komponent=taotlus&amp;id=798948&amp;kuva=ava" display="https://pms.arib.pria.ee/pms-menetlus/ - /router?komponent=taotlus&amp;id=798948&amp;kuva=ava"/>
    <hyperlink ref="C210" r:id="rId17" location="/router?komponent=taotlus&amp;id=794639&amp;kuva=ava" display="https://pms.arib.pria.ee/pms-menetlus/ - /router?komponent=taotlus&amp;id=794639&amp;kuva=ava"/>
    <hyperlink ref="C211" r:id="rId18" location="/router?komponent=taotlus&amp;id=795043&amp;kuva=ava" display="https://pms.arib.pria.ee/pms-menetlus/ - /router?komponent=taotlus&amp;id=795043&amp;kuva=ava"/>
    <hyperlink ref="C212" r:id="rId19" location="/router?komponent=taotlus&amp;id=798390&amp;kuva=ava" display="https://pms.arib.pria.ee/pms-menetlus/ - /router?komponent=taotlus&amp;id=798390&amp;kuva=ava"/>
    <hyperlink ref="C213" r:id="rId20" location="/router?komponent=taotlus&amp;id=799578&amp;kuva=ava" display="https://pms.arib.pria.ee/pms-menetlus/ - /router?komponent=taotlus&amp;id=799578&amp;kuva=ava"/>
    <hyperlink ref="C214" r:id="rId21" location="/router?komponent=taotlus&amp;id=794158&amp;kuva=ava" display="https://pms.arib.pria.ee/pms-menetlus/ - /router?komponent=taotlus&amp;id=794158&amp;kuva=ava"/>
    <hyperlink ref="C215" r:id="rId22" location="/router?komponent=taotlus&amp;id=794336&amp;kuva=ava" display="https://pms.arib.pria.ee/pms-menetlus/ - /router?komponent=taotlus&amp;id=794336&amp;kuva=ava"/>
    <hyperlink ref="C216" r:id="rId23" location="/router?komponent=taotlus&amp;id=794945&amp;kuva=ava" display="https://pms.arib.pria.ee/pms-menetlus/ - /router?komponent=taotlus&amp;id=794945&amp;kuva=ava"/>
    <hyperlink ref="C217" r:id="rId24" location="/router?komponent=taotlus&amp;id=794638&amp;kuva=ava" display="https://pms.arib.pria.ee/pms-menetlus/ - /router?komponent=taotlus&amp;id=794638&amp;kuva=ava"/>
    <hyperlink ref="C218" r:id="rId25" location="/router?komponent=taotlus&amp;id=798826&amp;kuva=ava" display="https://pms.arib.pria.ee/pms-menetlus/ - /router?komponent=taotlus&amp;id=798826&amp;kuva=ava"/>
    <hyperlink ref="C219" r:id="rId26" location="/router?komponent=taotlus&amp;id=800392&amp;kuva=ava" display="https://pms.arib.pria.ee/pms-menetlus/ - /router?komponent=taotlus&amp;id=800392&amp;kuva=ava"/>
    <hyperlink ref="C220" r:id="rId27" location="/router?komponent=taotlus&amp;id=799242&amp;kuva=ava" display="https://pms.arib.pria.ee/pms-menetlus/ - /router?komponent=taotlus&amp;id=799242&amp;kuva=ava"/>
  </hyperlinks>
  <pageMargins left="0.7" right="0.7" top="0.75" bottom="0.75" header="0.3" footer="0.3"/>
  <pageSetup paperSize="9" orientation="portrait" r:id="rId28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1"/>
  <sheetViews>
    <sheetView workbookViewId="0">
      <pane ySplit="2" topLeftCell="A362" activePane="bottomLeft" state="frozen"/>
      <selection pane="bottomLeft" activeCell="F369" sqref="F369"/>
    </sheetView>
  </sheetViews>
  <sheetFormatPr defaultRowHeight="15" x14ac:dyDescent="0.25"/>
  <cols>
    <col min="1" max="1" width="21.85546875" customWidth="1"/>
    <col min="2" max="2" width="52.42578125" customWidth="1"/>
    <col min="3" max="3" width="17.140625" customWidth="1"/>
    <col min="4" max="4" width="14" customWidth="1"/>
    <col min="5" max="5" width="19.85546875" customWidth="1"/>
    <col min="6" max="6" width="42.85546875" customWidth="1"/>
    <col min="8" max="8" width="13.140625" bestFit="1" customWidth="1"/>
  </cols>
  <sheetData>
    <row r="1" spans="1:5" ht="15.75" x14ac:dyDescent="0.25">
      <c r="A1" s="847" t="s">
        <v>22</v>
      </c>
      <c r="B1" s="848"/>
      <c r="C1" s="848"/>
      <c r="D1" s="848"/>
      <c r="E1" s="849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462</v>
      </c>
      <c r="B3" s="91" t="s">
        <v>463</v>
      </c>
      <c r="C3" s="127">
        <v>619216821043</v>
      </c>
      <c r="D3" s="38">
        <v>47.57</v>
      </c>
      <c r="E3" s="39" t="s">
        <v>419</v>
      </c>
    </row>
    <row r="4" spans="1:5" x14ac:dyDescent="0.25">
      <c r="A4" s="60" t="s">
        <v>462</v>
      </c>
      <c r="B4" s="1" t="s">
        <v>463</v>
      </c>
      <c r="C4" s="16">
        <v>619216821022</v>
      </c>
      <c r="D4" s="9">
        <v>47</v>
      </c>
      <c r="E4" s="41" t="s">
        <v>419</v>
      </c>
    </row>
    <row r="5" spans="1:5" x14ac:dyDescent="0.25">
      <c r="A5" s="60" t="s">
        <v>462</v>
      </c>
      <c r="B5" s="1" t="s">
        <v>463</v>
      </c>
      <c r="C5" s="16">
        <v>619216821025</v>
      </c>
      <c r="D5" s="9">
        <v>46.43</v>
      </c>
      <c r="E5" s="41" t="s">
        <v>419</v>
      </c>
    </row>
    <row r="6" spans="1:5" x14ac:dyDescent="0.25">
      <c r="A6" s="60" t="s">
        <v>462</v>
      </c>
      <c r="B6" s="1" t="s">
        <v>463</v>
      </c>
      <c r="C6" s="16">
        <v>619216841017</v>
      </c>
      <c r="D6" s="9">
        <v>46.43</v>
      </c>
      <c r="E6" s="41" t="s">
        <v>419</v>
      </c>
    </row>
    <row r="7" spans="1:5" x14ac:dyDescent="0.25">
      <c r="A7" s="159" t="s">
        <v>462</v>
      </c>
      <c r="B7" s="1" t="s">
        <v>463</v>
      </c>
      <c r="C7" s="16">
        <v>619216841030</v>
      </c>
      <c r="D7" s="9">
        <v>46</v>
      </c>
      <c r="E7" s="41" t="s">
        <v>419</v>
      </c>
    </row>
    <row r="8" spans="1:5" x14ac:dyDescent="0.25">
      <c r="A8" s="60" t="s">
        <v>462</v>
      </c>
      <c r="B8" s="1" t="s">
        <v>463</v>
      </c>
      <c r="C8" s="16">
        <v>619216841029</v>
      </c>
      <c r="D8" s="9">
        <v>45.57</v>
      </c>
      <c r="E8" s="41" t="s">
        <v>419</v>
      </c>
    </row>
    <row r="9" spans="1:5" x14ac:dyDescent="0.25">
      <c r="A9" s="60" t="s">
        <v>462</v>
      </c>
      <c r="B9" s="1" t="s">
        <v>463</v>
      </c>
      <c r="C9" s="16">
        <v>619216841032</v>
      </c>
      <c r="D9" s="9">
        <v>44.71</v>
      </c>
      <c r="E9" s="41" t="s">
        <v>419</v>
      </c>
    </row>
    <row r="10" spans="1:5" x14ac:dyDescent="0.25">
      <c r="A10" s="60" t="s">
        <v>462</v>
      </c>
      <c r="B10" s="1" t="s">
        <v>463</v>
      </c>
      <c r="C10" s="16">
        <v>619216841028</v>
      </c>
      <c r="D10" s="9">
        <v>44.43</v>
      </c>
      <c r="E10" s="41" t="s">
        <v>419</v>
      </c>
    </row>
    <row r="11" spans="1:5" x14ac:dyDescent="0.25">
      <c r="A11" s="60" t="s">
        <v>462</v>
      </c>
      <c r="B11" s="1" t="s">
        <v>463</v>
      </c>
      <c r="C11" s="16">
        <v>619216841016</v>
      </c>
      <c r="D11" s="9">
        <v>44</v>
      </c>
      <c r="E11" s="41" t="s">
        <v>419</v>
      </c>
    </row>
    <row r="12" spans="1:5" x14ac:dyDescent="0.25">
      <c r="A12" s="60" t="s">
        <v>462</v>
      </c>
      <c r="B12" s="1" t="s">
        <v>463</v>
      </c>
      <c r="C12" s="16">
        <v>619216841023</v>
      </c>
      <c r="D12" s="9">
        <v>43.86</v>
      </c>
      <c r="E12" s="41" t="s">
        <v>419</v>
      </c>
    </row>
    <row r="13" spans="1:5" x14ac:dyDescent="0.25">
      <c r="A13" s="60" t="s">
        <v>462</v>
      </c>
      <c r="B13" s="1" t="s">
        <v>463</v>
      </c>
      <c r="C13" s="16">
        <v>619216841019</v>
      </c>
      <c r="D13" s="9">
        <v>43.29</v>
      </c>
      <c r="E13" s="41" t="s">
        <v>419</v>
      </c>
    </row>
    <row r="14" spans="1:5" x14ac:dyDescent="0.25">
      <c r="A14" s="60" t="s">
        <v>462</v>
      </c>
      <c r="B14" s="1" t="s">
        <v>463</v>
      </c>
      <c r="C14" s="16">
        <v>619216841031</v>
      </c>
      <c r="D14" s="9">
        <v>42.71</v>
      </c>
      <c r="E14" s="41" t="s">
        <v>419</v>
      </c>
    </row>
    <row r="15" spans="1:5" x14ac:dyDescent="0.25">
      <c r="A15" s="60" t="s">
        <v>462</v>
      </c>
      <c r="B15" s="1" t="s">
        <v>463</v>
      </c>
      <c r="C15" s="16">
        <v>619216821042</v>
      </c>
      <c r="D15" s="9">
        <v>42.29</v>
      </c>
      <c r="E15" s="41" t="s">
        <v>419</v>
      </c>
    </row>
    <row r="16" spans="1:5" x14ac:dyDescent="0.25">
      <c r="A16" s="60" t="s">
        <v>462</v>
      </c>
      <c r="B16" s="1" t="s">
        <v>463</v>
      </c>
      <c r="C16" s="16">
        <v>619216841024</v>
      </c>
      <c r="D16" s="9">
        <v>42.29</v>
      </c>
      <c r="E16" s="41" t="s">
        <v>419</v>
      </c>
    </row>
    <row r="17" spans="1:5" x14ac:dyDescent="0.25">
      <c r="A17" s="60" t="s">
        <v>462</v>
      </c>
      <c r="B17" s="1" t="s">
        <v>463</v>
      </c>
      <c r="C17" s="16">
        <v>619216821040</v>
      </c>
      <c r="D17" s="9">
        <v>41.86</v>
      </c>
      <c r="E17" s="41" t="s">
        <v>419</v>
      </c>
    </row>
    <row r="18" spans="1:5" x14ac:dyDescent="0.25">
      <c r="A18" s="60" t="s">
        <v>462</v>
      </c>
      <c r="B18" s="1" t="s">
        <v>463</v>
      </c>
      <c r="C18" s="16">
        <v>619216841046</v>
      </c>
      <c r="D18" s="9">
        <v>41.71</v>
      </c>
      <c r="E18" s="41" t="s">
        <v>419</v>
      </c>
    </row>
    <row r="19" spans="1:5" x14ac:dyDescent="0.25">
      <c r="A19" s="60" t="s">
        <v>462</v>
      </c>
      <c r="B19" s="1" t="s">
        <v>463</v>
      </c>
      <c r="C19" s="16">
        <v>619216841034</v>
      </c>
      <c r="D19" s="9">
        <v>41.57</v>
      </c>
      <c r="E19" s="41" t="s">
        <v>419</v>
      </c>
    </row>
    <row r="20" spans="1:5" x14ac:dyDescent="0.25">
      <c r="A20" s="60" t="s">
        <v>462</v>
      </c>
      <c r="B20" s="1" t="s">
        <v>463</v>
      </c>
      <c r="C20" s="16">
        <v>619216821027</v>
      </c>
      <c r="D20" s="9">
        <v>40.71</v>
      </c>
      <c r="E20" s="41" t="s">
        <v>419</v>
      </c>
    </row>
    <row r="21" spans="1:5" x14ac:dyDescent="0.25">
      <c r="A21" s="60" t="s">
        <v>462</v>
      </c>
      <c r="B21" s="1" t="s">
        <v>463</v>
      </c>
      <c r="C21" s="16">
        <v>619216841026</v>
      </c>
      <c r="D21" s="9">
        <v>39.86</v>
      </c>
      <c r="E21" s="66" t="s">
        <v>420</v>
      </c>
    </row>
    <row r="22" spans="1:5" x14ac:dyDescent="0.25">
      <c r="A22" s="60" t="s">
        <v>462</v>
      </c>
      <c r="B22" s="1" t="s">
        <v>463</v>
      </c>
      <c r="C22" s="16">
        <v>619216821021</v>
      </c>
      <c r="D22" s="9">
        <v>37.71</v>
      </c>
      <c r="E22" s="41" t="s">
        <v>419</v>
      </c>
    </row>
    <row r="23" spans="1:5" x14ac:dyDescent="0.25">
      <c r="A23" s="60" t="s">
        <v>462</v>
      </c>
      <c r="B23" s="1" t="s">
        <v>463</v>
      </c>
      <c r="C23" s="16">
        <v>619216841045</v>
      </c>
      <c r="D23" s="15">
        <v>37.71</v>
      </c>
      <c r="E23" s="66" t="s">
        <v>420</v>
      </c>
    </row>
    <row r="24" spans="1:5" x14ac:dyDescent="0.25">
      <c r="A24" s="60" t="s">
        <v>462</v>
      </c>
      <c r="B24" s="1" t="s">
        <v>463</v>
      </c>
      <c r="C24" s="16">
        <v>619216841020</v>
      </c>
      <c r="D24" s="9">
        <v>35.43</v>
      </c>
      <c r="E24" s="41" t="s">
        <v>419</v>
      </c>
    </row>
    <row r="25" spans="1:5" x14ac:dyDescent="0.25">
      <c r="A25" s="60" t="s">
        <v>462</v>
      </c>
      <c r="B25" s="1" t="s">
        <v>463</v>
      </c>
      <c r="C25" s="16">
        <v>619216841041</v>
      </c>
      <c r="D25" s="9">
        <v>34.71</v>
      </c>
      <c r="E25" s="41" t="s">
        <v>419</v>
      </c>
    </row>
    <row r="26" spans="1:5" x14ac:dyDescent="0.25">
      <c r="A26" s="60" t="s">
        <v>462</v>
      </c>
      <c r="B26" s="1" t="s">
        <v>463</v>
      </c>
      <c r="C26" s="16">
        <v>619216841036</v>
      </c>
      <c r="D26" s="15">
        <v>31.71</v>
      </c>
      <c r="E26" s="66" t="s">
        <v>420</v>
      </c>
    </row>
    <row r="27" spans="1:5" x14ac:dyDescent="0.25">
      <c r="A27" s="60" t="s">
        <v>462</v>
      </c>
      <c r="B27" s="1" t="s">
        <v>463</v>
      </c>
      <c r="C27" s="16">
        <v>619216821037</v>
      </c>
      <c r="D27" s="9">
        <v>31.29</v>
      </c>
      <c r="E27" s="41" t="s">
        <v>419</v>
      </c>
    </row>
    <row r="28" spans="1:5" x14ac:dyDescent="0.25">
      <c r="A28" s="60" t="s">
        <v>462</v>
      </c>
      <c r="B28" s="1" t="s">
        <v>463</v>
      </c>
      <c r="C28" s="16">
        <v>619216821038</v>
      </c>
      <c r="D28" s="15">
        <v>30.14</v>
      </c>
      <c r="E28" s="66" t="s">
        <v>420</v>
      </c>
    </row>
    <row r="29" spans="1:5" x14ac:dyDescent="0.25">
      <c r="A29" s="60" t="s">
        <v>462</v>
      </c>
      <c r="B29" s="1" t="s">
        <v>463</v>
      </c>
      <c r="C29" s="16">
        <v>619216841018</v>
      </c>
      <c r="D29" s="15">
        <v>28.14</v>
      </c>
      <c r="E29" s="66" t="s">
        <v>420</v>
      </c>
    </row>
    <row r="30" spans="1:5" x14ac:dyDescent="0.25">
      <c r="A30" s="60" t="s">
        <v>462</v>
      </c>
      <c r="B30" s="1" t="s">
        <v>463</v>
      </c>
      <c r="C30" s="16">
        <v>619216841039</v>
      </c>
      <c r="D30" s="15">
        <v>27.71</v>
      </c>
      <c r="E30" s="66" t="s">
        <v>420</v>
      </c>
    </row>
    <row r="31" spans="1:5" x14ac:dyDescent="0.25">
      <c r="A31" s="60" t="s">
        <v>462</v>
      </c>
      <c r="B31" s="1" t="s">
        <v>463</v>
      </c>
      <c r="C31" s="16">
        <v>619216841044</v>
      </c>
      <c r="D31" s="15">
        <v>27.29</v>
      </c>
      <c r="E31" s="66" t="s">
        <v>420</v>
      </c>
    </row>
    <row r="32" spans="1:5" ht="15.75" thickBot="1" x14ac:dyDescent="0.3">
      <c r="A32" s="164" t="s">
        <v>462</v>
      </c>
      <c r="B32" s="161" t="s">
        <v>463</v>
      </c>
      <c r="C32" s="162">
        <v>619216841033</v>
      </c>
      <c r="D32" s="163">
        <v>26.86</v>
      </c>
      <c r="E32" s="119" t="s">
        <v>420</v>
      </c>
    </row>
    <row r="33" spans="1:5" x14ac:dyDescent="0.25">
      <c r="A33" s="78" t="s">
        <v>462</v>
      </c>
      <c r="B33" s="165" t="s">
        <v>465</v>
      </c>
      <c r="C33" s="166">
        <v>619216841105</v>
      </c>
      <c r="D33" s="49">
        <v>37.29</v>
      </c>
      <c r="E33" s="39" t="s">
        <v>419</v>
      </c>
    </row>
    <row r="34" spans="1:5" x14ac:dyDescent="0.25">
      <c r="A34" s="80" t="s">
        <v>462</v>
      </c>
      <c r="B34" s="76" t="s">
        <v>465</v>
      </c>
      <c r="C34" s="160">
        <v>619216821076</v>
      </c>
      <c r="D34" s="2">
        <v>36.57</v>
      </c>
      <c r="E34" s="41" t="s">
        <v>419</v>
      </c>
    </row>
    <row r="35" spans="1:5" x14ac:dyDescent="0.25">
      <c r="A35" s="80" t="s">
        <v>462</v>
      </c>
      <c r="B35" s="76" t="s">
        <v>465</v>
      </c>
      <c r="C35" s="160">
        <v>619216821111</v>
      </c>
      <c r="D35" s="2">
        <v>36.57</v>
      </c>
      <c r="E35" s="41" t="s">
        <v>419</v>
      </c>
    </row>
    <row r="36" spans="1:5" x14ac:dyDescent="0.25">
      <c r="A36" s="80" t="s">
        <v>462</v>
      </c>
      <c r="B36" s="76" t="s">
        <v>465</v>
      </c>
      <c r="C36" s="160">
        <v>619216821094</v>
      </c>
      <c r="D36" s="2">
        <v>36.43</v>
      </c>
      <c r="E36" s="41" t="s">
        <v>419</v>
      </c>
    </row>
    <row r="37" spans="1:5" x14ac:dyDescent="0.25">
      <c r="A37" s="80" t="s">
        <v>462</v>
      </c>
      <c r="B37" s="76" t="s">
        <v>465</v>
      </c>
      <c r="C37" s="160">
        <v>619216841065</v>
      </c>
      <c r="D37" s="2">
        <v>36.14</v>
      </c>
      <c r="E37" s="41" t="s">
        <v>419</v>
      </c>
    </row>
    <row r="38" spans="1:5" x14ac:dyDescent="0.25">
      <c r="A38" s="80" t="s">
        <v>462</v>
      </c>
      <c r="B38" s="76" t="s">
        <v>465</v>
      </c>
      <c r="C38" s="160">
        <v>619216841077</v>
      </c>
      <c r="D38" s="2">
        <v>36.14</v>
      </c>
      <c r="E38" s="41" t="s">
        <v>419</v>
      </c>
    </row>
    <row r="39" spans="1:5" x14ac:dyDescent="0.25">
      <c r="A39" s="80" t="s">
        <v>462</v>
      </c>
      <c r="B39" s="76" t="s">
        <v>465</v>
      </c>
      <c r="C39" s="160">
        <v>619216841079</v>
      </c>
      <c r="D39" s="2">
        <v>35.57</v>
      </c>
      <c r="E39" s="41" t="s">
        <v>419</v>
      </c>
    </row>
    <row r="40" spans="1:5" x14ac:dyDescent="0.25">
      <c r="A40" s="80" t="s">
        <v>462</v>
      </c>
      <c r="B40" s="76" t="s">
        <v>465</v>
      </c>
      <c r="C40" s="160">
        <v>619216841107</v>
      </c>
      <c r="D40" s="2">
        <v>35.57</v>
      </c>
      <c r="E40" s="41" t="s">
        <v>419</v>
      </c>
    </row>
    <row r="41" spans="1:5" x14ac:dyDescent="0.25">
      <c r="A41" s="80" t="s">
        <v>462</v>
      </c>
      <c r="B41" s="76" t="s">
        <v>465</v>
      </c>
      <c r="C41" s="160">
        <v>619216841072</v>
      </c>
      <c r="D41" s="2">
        <v>34.29</v>
      </c>
      <c r="E41" s="41" t="s">
        <v>419</v>
      </c>
    </row>
    <row r="42" spans="1:5" x14ac:dyDescent="0.25">
      <c r="A42" s="80" t="s">
        <v>462</v>
      </c>
      <c r="B42" s="76" t="s">
        <v>465</v>
      </c>
      <c r="C42" s="160">
        <v>619216841104</v>
      </c>
      <c r="D42" s="2">
        <v>33.86</v>
      </c>
      <c r="E42" s="41" t="s">
        <v>419</v>
      </c>
    </row>
    <row r="43" spans="1:5" x14ac:dyDescent="0.25">
      <c r="A43" s="80" t="s">
        <v>462</v>
      </c>
      <c r="B43" s="76" t="s">
        <v>465</v>
      </c>
      <c r="C43" s="160">
        <v>619216841083</v>
      </c>
      <c r="D43" s="2">
        <v>33.71</v>
      </c>
      <c r="E43" s="41" t="s">
        <v>419</v>
      </c>
    </row>
    <row r="44" spans="1:5" x14ac:dyDescent="0.25">
      <c r="A44" s="168" t="s">
        <v>462</v>
      </c>
      <c r="B44" s="76" t="s">
        <v>465</v>
      </c>
      <c r="C44" s="160">
        <v>619216841110</v>
      </c>
      <c r="D44" s="2">
        <v>33.57</v>
      </c>
      <c r="E44" s="66" t="s">
        <v>420</v>
      </c>
    </row>
    <row r="45" spans="1:5" x14ac:dyDescent="0.25">
      <c r="A45" s="80" t="s">
        <v>462</v>
      </c>
      <c r="B45" s="76" t="s">
        <v>465</v>
      </c>
      <c r="C45" s="160">
        <v>619216841069</v>
      </c>
      <c r="D45" s="2">
        <v>32.71</v>
      </c>
      <c r="E45" s="41" t="s">
        <v>419</v>
      </c>
    </row>
    <row r="46" spans="1:5" x14ac:dyDescent="0.25">
      <c r="A46" s="80" t="s">
        <v>462</v>
      </c>
      <c r="B46" s="76" t="s">
        <v>465</v>
      </c>
      <c r="C46" s="160">
        <v>619216821113</v>
      </c>
      <c r="D46" s="2">
        <v>32.57</v>
      </c>
      <c r="E46" s="41" t="s">
        <v>419</v>
      </c>
    </row>
    <row r="47" spans="1:5" x14ac:dyDescent="0.25">
      <c r="A47" s="80" t="s">
        <v>462</v>
      </c>
      <c r="B47" s="76" t="s">
        <v>465</v>
      </c>
      <c r="C47" s="160">
        <v>619216841106</v>
      </c>
      <c r="D47" s="2">
        <v>32.29</v>
      </c>
      <c r="E47" s="41" t="s">
        <v>419</v>
      </c>
    </row>
    <row r="48" spans="1:5" x14ac:dyDescent="0.25">
      <c r="A48" s="80" t="s">
        <v>462</v>
      </c>
      <c r="B48" s="76" t="s">
        <v>465</v>
      </c>
      <c r="C48" s="160">
        <v>619216841109</v>
      </c>
      <c r="D48" s="2">
        <v>32.14</v>
      </c>
      <c r="E48" s="41" t="s">
        <v>419</v>
      </c>
    </row>
    <row r="49" spans="1:5" x14ac:dyDescent="0.25">
      <c r="A49" s="168" t="s">
        <v>462</v>
      </c>
      <c r="B49" s="76" t="s">
        <v>465</v>
      </c>
      <c r="C49" s="160">
        <v>619216841071</v>
      </c>
      <c r="D49" s="2">
        <v>32</v>
      </c>
      <c r="E49" s="41" t="s">
        <v>419</v>
      </c>
    </row>
    <row r="50" spans="1:5" x14ac:dyDescent="0.25">
      <c r="A50" s="169" t="s">
        <v>462</v>
      </c>
      <c r="B50" s="76" t="s">
        <v>465</v>
      </c>
      <c r="C50" s="160">
        <v>619216841075</v>
      </c>
      <c r="D50" s="2">
        <v>32</v>
      </c>
      <c r="E50" s="41" t="s">
        <v>419</v>
      </c>
    </row>
    <row r="51" spans="1:5" x14ac:dyDescent="0.25">
      <c r="A51" s="168" t="s">
        <v>462</v>
      </c>
      <c r="B51" s="76" t="s">
        <v>465</v>
      </c>
      <c r="C51" s="160">
        <v>619216821070</v>
      </c>
      <c r="D51" s="2">
        <v>32</v>
      </c>
      <c r="E51" s="66" t="s">
        <v>420</v>
      </c>
    </row>
    <row r="52" spans="1:5" x14ac:dyDescent="0.25">
      <c r="A52" s="80" t="s">
        <v>462</v>
      </c>
      <c r="B52" s="76" t="s">
        <v>465</v>
      </c>
      <c r="C52" s="160">
        <v>619216841067</v>
      </c>
      <c r="D52" s="2">
        <v>31.57</v>
      </c>
      <c r="E52" s="41" t="s">
        <v>419</v>
      </c>
    </row>
    <row r="53" spans="1:5" x14ac:dyDescent="0.25">
      <c r="A53" s="80" t="s">
        <v>462</v>
      </c>
      <c r="B53" s="76" t="s">
        <v>465</v>
      </c>
      <c r="C53" s="160">
        <v>619216841112</v>
      </c>
      <c r="D53" s="2">
        <v>31.43</v>
      </c>
      <c r="E53" s="41" t="s">
        <v>419</v>
      </c>
    </row>
    <row r="54" spans="1:5" x14ac:dyDescent="0.25">
      <c r="A54" s="168" t="s">
        <v>462</v>
      </c>
      <c r="B54" s="76" t="s">
        <v>465</v>
      </c>
      <c r="C54" s="160">
        <v>619216841108</v>
      </c>
      <c r="D54" s="2">
        <v>31.14</v>
      </c>
      <c r="E54" s="66" t="s">
        <v>420</v>
      </c>
    </row>
    <row r="55" spans="1:5" x14ac:dyDescent="0.25">
      <c r="A55" s="168" t="s">
        <v>462</v>
      </c>
      <c r="B55" s="76" t="s">
        <v>465</v>
      </c>
      <c r="C55" s="160">
        <v>619216841066</v>
      </c>
      <c r="D55" s="2">
        <v>30.71</v>
      </c>
      <c r="E55" s="66" t="s">
        <v>420</v>
      </c>
    </row>
    <row r="56" spans="1:5" x14ac:dyDescent="0.25">
      <c r="A56" s="80" t="s">
        <v>462</v>
      </c>
      <c r="B56" s="76" t="s">
        <v>465</v>
      </c>
      <c r="C56" s="160">
        <v>619216841116</v>
      </c>
      <c r="D56" s="2">
        <v>30</v>
      </c>
      <c r="E56" s="41" t="s">
        <v>419</v>
      </c>
    </row>
    <row r="57" spans="1:5" x14ac:dyDescent="0.25">
      <c r="A57" s="168" t="s">
        <v>462</v>
      </c>
      <c r="B57" s="76" t="s">
        <v>465</v>
      </c>
      <c r="C57" s="160">
        <v>619216841068</v>
      </c>
      <c r="D57" s="2">
        <v>29.57</v>
      </c>
      <c r="E57" s="66" t="s">
        <v>420</v>
      </c>
    </row>
    <row r="58" spans="1:5" x14ac:dyDescent="0.25">
      <c r="A58" s="168" t="s">
        <v>462</v>
      </c>
      <c r="B58" s="76" t="s">
        <v>465</v>
      </c>
      <c r="C58" s="160">
        <v>619216841074</v>
      </c>
      <c r="D58" s="2">
        <v>27.71</v>
      </c>
      <c r="E58" s="66" t="s">
        <v>420</v>
      </c>
    </row>
    <row r="59" spans="1:5" x14ac:dyDescent="0.25">
      <c r="A59" s="168" t="s">
        <v>462</v>
      </c>
      <c r="B59" s="76" t="s">
        <v>465</v>
      </c>
      <c r="C59" s="160">
        <v>619216821115</v>
      </c>
      <c r="D59" s="2">
        <v>27.29</v>
      </c>
      <c r="E59" s="66" t="s">
        <v>420</v>
      </c>
    </row>
    <row r="60" spans="1:5" x14ac:dyDescent="0.25">
      <c r="A60" s="168" t="s">
        <v>462</v>
      </c>
      <c r="B60" s="76" t="s">
        <v>465</v>
      </c>
      <c r="C60" s="160">
        <v>619216841073</v>
      </c>
      <c r="D60" s="2">
        <v>26</v>
      </c>
      <c r="E60" s="66" t="s">
        <v>420</v>
      </c>
    </row>
    <row r="61" spans="1:5" x14ac:dyDescent="0.25">
      <c r="A61" s="168" t="s">
        <v>462</v>
      </c>
      <c r="B61" s="76" t="s">
        <v>465</v>
      </c>
      <c r="C61" s="160">
        <v>619216841114</v>
      </c>
      <c r="D61" s="2">
        <v>25.71</v>
      </c>
      <c r="E61" s="66" t="s">
        <v>420</v>
      </c>
    </row>
    <row r="62" spans="1:5" x14ac:dyDescent="0.25">
      <c r="A62" s="168" t="s">
        <v>462</v>
      </c>
      <c r="B62" s="76" t="s">
        <v>465</v>
      </c>
      <c r="C62" s="160">
        <v>619216371101</v>
      </c>
      <c r="D62" s="2">
        <v>25.29</v>
      </c>
      <c r="E62" s="66" t="s">
        <v>420</v>
      </c>
    </row>
    <row r="63" spans="1:5" x14ac:dyDescent="0.25">
      <c r="A63" s="168" t="s">
        <v>462</v>
      </c>
      <c r="B63" s="76" t="s">
        <v>465</v>
      </c>
      <c r="C63" s="160">
        <v>619216841095</v>
      </c>
      <c r="D63" s="2">
        <v>23.71</v>
      </c>
      <c r="E63" s="66" t="s">
        <v>420</v>
      </c>
    </row>
    <row r="64" spans="1:5" x14ac:dyDescent="0.25">
      <c r="A64" s="168" t="s">
        <v>462</v>
      </c>
      <c r="B64" s="76" t="s">
        <v>465</v>
      </c>
      <c r="C64" s="160">
        <v>619316840050</v>
      </c>
      <c r="D64" s="2">
        <v>23.57</v>
      </c>
      <c r="E64" s="66" t="s">
        <v>420</v>
      </c>
    </row>
    <row r="65" spans="1:5" ht="15.75" thickBot="1" x14ac:dyDescent="0.3">
      <c r="A65" s="302" t="s">
        <v>462</v>
      </c>
      <c r="B65" s="303" t="s">
        <v>465</v>
      </c>
      <c r="C65" s="304">
        <v>619216671096</v>
      </c>
      <c r="D65" s="179">
        <v>12.71</v>
      </c>
      <c r="E65" s="119" t="s">
        <v>420</v>
      </c>
    </row>
    <row r="66" spans="1:5" x14ac:dyDescent="0.25">
      <c r="A66" s="507" t="s">
        <v>638</v>
      </c>
      <c r="B66" s="49" t="s">
        <v>639</v>
      </c>
      <c r="C66" s="134">
        <v>619216821580</v>
      </c>
      <c r="D66" s="49">
        <v>30.5</v>
      </c>
      <c r="E66" s="294" t="s">
        <v>419</v>
      </c>
    </row>
    <row r="67" spans="1:5" x14ac:dyDescent="0.25">
      <c r="A67" s="508" t="s">
        <v>638</v>
      </c>
      <c r="B67" s="2" t="s">
        <v>639</v>
      </c>
      <c r="C67" s="3">
        <v>619216821579</v>
      </c>
      <c r="D67" s="2">
        <v>24.25</v>
      </c>
      <c r="E67" s="66" t="s">
        <v>420</v>
      </c>
    </row>
    <row r="68" spans="1:5" x14ac:dyDescent="0.25">
      <c r="A68" s="508" t="s">
        <v>638</v>
      </c>
      <c r="B68" s="2" t="s">
        <v>639</v>
      </c>
      <c r="C68" s="3">
        <v>619216371577</v>
      </c>
      <c r="D68" s="2">
        <v>31.25</v>
      </c>
      <c r="E68" s="66" t="s">
        <v>420</v>
      </c>
    </row>
    <row r="69" spans="1:5" x14ac:dyDescent="0.25">
      <c r="A69" s="508" t="s">
        <v>638</v>
      </c>
      <c r="B69" s="2" t="s">
        <v>639</v>
      </c>
      <c r="C69" s="3">
        <v>619216371576</v>
      </c>
      <c r="D69" s="2">
        <v>37.5</v>
      </c>
      <c r="E69" s="41" t="s">
        <v>419</v>
      </c>
    </row>
    <row r="70" spans="1:5" x14ac:dyDescent="0.25">
      <c r="A70" s="508" t="s">
        <v>638</v>
      </c>
      <c r="B70" s="2" t="s">
        <v>639</v>
      </c>
      <c r="C70" s="3">
        <v>619216671575</v>
      </c>
      <c r="D70" s="2">
        <v>23.5</v>
      </c>
      <c r="E70" s="66" t="s">
        <v>420</v>
      </c>
    </row>
    <row r="71" spans="1:5" x14ac:dyDescent="0.25">
      <c r="A71" s="95" t="s">
        <v>638</v>
      </c>
      <c r="B71" s="2" t="s">
        <v>639</v>
      </c>
      <c r="C71" s="3">
        <v>619216841574</v>
      </c>
      <c r="D71" s="2">
        <v>34.130000000000003</v>
      </c>
      <c r="E71" s="66" t="s">
        <v>420</v>
      </c>
    </row>
    <row r="72" spans="1:5" x14ac:dyDescent="0.25">
      <c r="A72" s="508" t="s">
        <v>638</v>
      </c>
      <c r="B72" s="2" t="s">
        <v>639</v>
      </c>
      <c r="C72" s="3">
        <v>619216841573</v>
      </c>
      <c r="D72" s="2">
        <v>30.63</v>
      </c>
      <c r="E72" s="41" t="s">
        <v>419</v>
      </c>
    </row>
    <row r="73" spans="1:5" x14ac:dyDescent="0.25">
      <c r="A73" s="508" t="s">
        <v>638</v>
      </c>
      <c r="B73" s="2" t="s">
        <v>639</v>
      </c>
      <c r="C73" s="3">
        <v>619216841572</v>
      </c>
      <c r="D73" s="2">
        <v>29</v>
      </c>
      <c r="E73" s="41" t="s">
        <v>419</v>
      </c>
    </row>
    <row r="74" spans="1:5" x14ac:dyDescent="0.25">
      <c r="A74" s="508" t="s">
        <v>638</v>
      </c>
      <c r="B74" s="2" t="s">
        <v>639</v>
      </c>
      <c r="C74" s="3">
        <v>619216841571</v>
      </c>
      <c r="D74" s="2">
        <v>30</v>
      </c>
      <c r="E74" s="66" t="s">
        <v>420</v>
      </c>
    </row>
    <row r="75" spans="1:5" x14ac:dyDescent="0.25">
      <c r="A75" s="508" t="s">
        <v>638</v>
      </c>
      <c r="B75" s="2" t="s">
        <v>639</v>
      </c>
      <c r="C75" s="3">
        <v>619216841570</v>
      </c>
      <c r="D75" s="2">
        <v>36.380000000000003</v>
      </c>
      <c r="E75" s="41" t="s">
        <v>419</v>
      </c>
    </row>
    <row r="76" spans="1:5" x14ac:dyDescent="0.25">
      <c r="A76" s="508" t="s">
        <v>638</v>
      </c>
      <c r="B76" s="2" t="s">
        <v>639</v>
      </c>
      <c r="C76" s="3">
        <v>619216841569</v>
      </c>
      <c r="D76" s="2">
        <v>32.380000000000003</v>
      </c>
      <c r="E76" s="41" t="s">
        <v>419</v>
      </c>
    </row>
    <row r="77" spans="1:5" x14ac:dyDescent="0.25">
      <c r="A77" s="508" t="s">
        <v>638</v>
      </c>
      <c r="B77" s="2" t="s">
        <v>639</v>
      </c>
      <c r="C77" s="3">
        <v>619216821568</v>
      </c>
      <c r="D77" s="2">
        <v>33.380000000000003</v>
      </c>
      <c r="E77" s="41" t="s">
        <v>419</v>
      </c>
    </row>
    <row r="78" spans="1:5" x14ac:dyDescent="0.25">
      <c r="A78" s="95" t="s">
        <v>638</v>
      </c>
      <c r="B78" s="2" t="s">
        <v>639</v>
      </c>
      <c r="C78" s="3">
        <v>619216841567</v>
      </c>
      <c r="D78" s="2">
        <v>33.25</v>
      </c>
      <c r="E78" s="41" t="s">
        <v>419</v>
      </c>
    </row>
    <row r="79" spans="1:5" x14ac:dyDescent="0.25">
      <c r="A79" s="508" t="s">
        <v>638</v>
      </c>
      <c r="B79" s="2" t="s">
        <v>639</v>
      </c>
      <c r="C79" s="3">
        <v>619216821566</v>
      </c>
      <c r="D79" s="2">
        <v>30.38</v>
      </c>
      <c r="E79" s="41" t="s">
        <v>419</v>
      </c>
    </row>
    <row r="80" spans="1:5" x14ac:dyDescent="0.25">
      <c r="A80" s="508" t="s">
        <v>638</v>
      </c>
      <c r="B80" s="2" t="s">
        <v>639</v>
      </c>
      <c r="C80" s="3">
        <v>619216841565</v>
      </c>
      <c r="D80" s="2">
        <v>35.5</v>
      </c>
      <c r="E80" s="41" t="s">
        <v>419</v>
      </c>
    </row>
    <row r="81" spans="1:5" x14ac:dyDescent="0.25">
      <c r="A81" s="508" t="s">
        <v>638</v>
      </c>
      <c r="B81" s="2" t="s">
        <v>639</v>
      </c>
      <c r="C81" s="3">
        <v>619216841564</v>
      </c>
      <c r="D81" s="2">
        <v>35.5</v>
      </c>
      <c r="E81" s="66" t="s">
        <v>420</v>
      </c>
    </row>
    <row r="82" spans="1:5" x14ac:dyDescent="0.25">
      <c r="A82" s="508" t="s">
        <v>638</v>
      </c>
      <c r="B82" s="2" t="s">
        <v>639</v>
      </c>
      <c r="C82" s="3">
        <v>619216821563</v>
      </c>
      <c r="D82" s="2">
        <v>35.380000000000003</v>
      </c>
      <c r="E82" s="41" t="s">
        <v>419</v>
      </c>
    </row>
    <row r="83" spans="1:5" x14ac:dyDescent="0.25">
      <c r="A83" s="508" t="s">
        <v>638</v>
      </c>
      <c r="B83" s="2" t="s">
        <v>639</v>
      </c>
      <c r="C83" s="3">
        <v>619216841562</v>
      </c>
      <c r="D83" s="2">
        <v>30.25</v>
      </c>
      <c r="E83" s="41" t="s">
        <v>419</v>
      </c>
    </row>
    <row r="84" spans="1:5" x14ac:dyDescent="0.25">
      <c r="A84" s="508" t="s">
        <v>638</v>
      </c>
      <c r="B84" s="2" t="s">
        <v>639</v>
      </c>
      <c r="C84" s="3">
        <v>619216821561</v>
      </c>
      <c r="D84" s="2">
        <v>31.75</v>
      </c>
      <c r="E84" s="41" t="s">
        <v>419</v>
      </c>
    </row>
    <row r="85" spans="1:5" x14ac:dyDescent="0.25">
      <c r="A85" s="95" t="s">
        <v>638</v>
      </c>
      <c r="B85" s="2" t="s">
        <v>639</v>
      </c>
      <c r="C85" s="3">
        <v>619216821560</v>
      </c>
      <c r="D85" s="2">
        <v>30.75</v>
      </c>
      <c r="E85" s="41" t="s">
        <v>419</v>
      </c>
    </row>
    <row r="86" spans="1:5" x14ac:dyDescent="0.25">
      <c r="A86" s="508" t="s">
        <v>638</v>
      </c>
      <c r="B86" s="2" t="s">
        <v>639</v>
      </c>
      <c r="C86" s="3">
        <v>619216841559</v>
      </c>
      <c r="D86" s="2">
        <v>20.63</v>
      </c>
      <c r="E86" s="66" t="s">
        <v>420</v>
      </c>
    </row>
    <row r="87" spans="1:5" x14ac:dyDescent="0.25">
      <c r="A87" s="508" t="s">
        <v>638</v>
      </c>
      <c r="B87" s="2" t="s">
        <v>639</v>
      </c>
      <c r="C87" s="3">
        <v>619216841558</v>
      </c>
      <c r="D87" s="2">
        <v>35.130000000000003</v>
      </c>
      <c r="E87" s="41" t="s">
        <v>419</v>
      </c>
    </row>
    <row r="88" spans="1:5" x14ac:dyDescent="0.25">
      <c r="A88" s="508" t="s">
        <v>638</v>
      </c>
      <c r="B88" s="2" t="s">
        <v>639</v>
      </c>
      <c r="C88" s="3">
        <v>619216841557</v>
      </c>
      <c r="D88" s="2">
        <v>34</v>
      </c>
      <c r="E88" s="41" t="s">
        <v>419</v>
      </c>
    </row>
    <row r="89" spans="1:5" x14ac:dyDescent="0.25">
      <c r="A89" s="508" t="s">
        <v>638</v>
      </c>
      <c r="B89" s="2" t="s">
        <v>639</v>
      </c>
      <c r="C89" s="3">
        <v>619216841556</v>
      </c>
      <c r="D89" s="2">
        <v>30.88</v>
      </c>
      <c r="E89" s="41" t="s">
        <v>419</v>
      </c>
    </row>
    <row r="90" spans="1:5" x14ac:dyDescent="0.25">
      <c r="A90" s="508" t="s">
        <v>638</v>
      </c>
      <c r="B90" s="2" t="s">
        <v>639</v>
      </c>
      <c r="C90" s="3">
        <v>619216841555</v>
      </c>
      <c r="D90" s="2">
        <v>31.75</v>
      </c>
      <c r="E90" s="41" t="s">
        <v>419</v>
      </c>
    </row>
    <row r="91" spans="1:5" x14ac:dyDescent="0.25">
      <c r="A91" s="508" t="s">
        <v>638</v>
      </c>
      <c r="B91" s="2" t="s">
        <v>639</v>
      </c>
      <c r="C91" s="3">
        <v>619216841554</v>
      </c>
      <c r="D91" s="2">
        <v>27</v>
      </c>
      <c r="E91" s="66" t="s">
        <v>420</v>
      </c>
    </row>
    <row r="92" spans="1:5" x14ac:dyDescent="0.25">
      <c r="A92" s="95" t="s">
        <v>638</v>
      </c>
      <c r="B92" s="2" t="s">
        <v>639</v>
      </c>
      <c r="C92" s="3">
        <v>619216841553</v>
      </c>
      <c r="D92" s="2">
        <v>30.63</v>
      </c>
      <c r="E92" s="66" t="s">
        <v>420</v>
      </c>
    </row>
    <row r="93" spans="1:5" x14ac:dyDescent="0.25">
      <c r="A93" s="508" t="s">
        <v>638</v>
      </c>
      <c r="B93" s="2" t="s">
        <v>639</v>
      </c>
      <c r="C93" s="3">
        <v>619216841552</v>
      </c>
      <c r="D93" s="2">
        <v>28.25</v>
      </c>
      <c r="E93" s="41" t="s">
        <v>419</v>
      </c>
    </row>
    <row r="94" spans="1:5" x14ac:dyDescent="0.25">
      <c r="A94" s="508" t="s">
        <v>638</v>
      </c>
      <c r="B94" s="2" t="s">
        <v>639</v>
      </c>
      <c r="C94" s="3">
        <v>619216821551</v>
      </c>
      <c r="D94" s="2">
        <v>28</v>
      </c>
      <c r="E94" s="66" t="s">
        <v>420</v>
      </c>
    </row>
    <row r="95" spans="1:5" x14ac:dyDescent="0.25">
      <c r="A95" s="508" t="s">
        <v>638</v>
      </c>
      <c r="B95" s="2" t="s">
        <v>639</v>
      </c>
      <c r="C95" s="3">
        <v>619216841550</v>
      </c>
      <c r="D95" s="2">
        <v>35.630000000000003</v>
      </c>
      <c r="E95" s="41" t="s">
        <v>419</v>
      </c>
    </row>
    <row r="96" spans="1:5" x14ac:dyDescent="0.25">
      <c r="A96" s="508" t="s">
        <v>638</v>
      </c>
      <c r="B96" s="2" t="s">
        <v>639</v>
      </c>
      <c r="C96" s="3">
        <v>619216821549</v>
      </c>
      <c r="D96" s="2">
        <v>34.130000000000003</v>
      </c>
      <c r="E96" s="41" t="s">
        <v>419</v>
      </c>
    </row>
    <row r="97" spans="1:7" x14ac:dyDescent="0.25">
      <c r="A97" s="508" t="s">
        <v>638</v>
      </c>
      <c r="B97" s="2" t="s">
        <v>639</v>
      </c>
      <c r="C97" s="3">
        <v>619216821548</v>
      </c>
      <c r="D97" s="2">
        <v>34.130000000000003</v>
      </c>
      <c r="E97" s="41" t="s">
        <v>419</v>
      </c>
    </row>
    <row r="98" spans="1:7" x14ac:dyDescent="0.25">
      <c r="A98" s="95" t="s">
        <v>638</v>
      </c>
      <c r="B98" s="2" t="s">
        <v>639</v>
      </c>
      <c r="C98" s="3">
        <v>619216841546</v>
      </c>
      <c r="D98" s="2">
        <v>33.630000000000003</v>
      </c>
      <c r="E98" s="41" t="s">
        <v>419</v>
      </c>
    </row>
    <row r="99" spans="1:7" ht="15.75" thickBot="1" x14ac:dyDescent="0.3">
      <c r="A99" s="509" t="s">
        <v>638</v>
      </c>
      <c r="B99" s="51" t="s">
        <v>639</v>
      </c>
      <c r="C99" s="135">
        <v>619216841545</v>
      </c>
      <c r="D99" s="51">
        <v>34.75</v>
      </c>
      <c r="E99" s="87" t="s">
        <v>419</v>
      </c>
    </row>
    <row r="100" spans="1:7" x14ac:dyDescent="0.25">
      <c r="A100" s="505" t="s">
        <v>907</v>
      </c>
      <c r="B100" s="165" t="s">
        <v>465</v>
      </c>
      <c r="C100" s="48" t="str">
        <f>"619217842653"</f>
        <v>619217842653</v>
      </c>
      <c r="D100" s="49">
        <v>31.5</v>
      </c>
      <c r="E100" s="39" t="s">
        <v>419</v>
      </c>
      <c r="F100" s="6"/>
    </row>
    <row r="101" spans="1:7" x14ac:dyDescent="0.25">
      <c r="A101" s="506" t="s">
        <v>907</v>
      </c>
      <c r="B101" s="76" t="s">
        <v>465</v>
      </c>
      <c r="C101" s="5" t="str">
        <f>"619217822652"</f>
        <v>619217822652</v>
      </c>
      <c r="D101" s="2">
        <v>43.38</v>
      </c>
      <c r="E101" s="41" t="s">
        <v>419</v>
      </c>
      <c r="F101" s="6"/>
    </row>
    <row r="102" spans="1:7" x14ac:dyDescent="0.25">
      <c r="A102" s="506" t="s">
        <v>907</v>
      </c>
      <c r="B102" s="76" t="s">
        <v>465</v>
      </c>
      <c r="C102" s="5" t="str">
        <f>"619217842651"</f>
        <v>619217842651</v>
      </c>
      <c r="D102" s="2">
        <v>36</v>
      </c>
      <c r="E102" s="41" t="s">
        <v>419</v>
      </c>
      <c r="F102" s="6"/>
    </row>
    <row r="103" spans="1:7" x14ac:dyDescent="0.25">
      <c r="A103" s="506" t="s">
        <v>907</v>
      </c>
      <c r="B103" s="76" t="s">
        <v>465</v>
      </c>
      <c r="C103" s="5" t="str">
        <f>"619217822650"</f>
        <v>619217822650</v>
      </c>
      <c r="D103" s="2">
        <v>33.380000000000003</v>
      </c>
      <c r="E103" s="41" t="s">
        <v>419</v>
      </c>
      <c r="F103" s="6"/>
    </row>
    <row r="104" spans="1:7" x14ac:dyDescent="0.25">
      <c r="A104" s="506" t="s">
        <v>907</v>
      </c>
      <c r="B104" s="76" t="s">
        <v>465</v>
      </c>
      <c r="C104" s="5" t="str">
        <f>"619217822649"</f>
        <v>619217822649</v>
      </c>
      <c r="D104" s="2">
        <v>29</v>
      </c>
      <c r="E104" s="41" t="s">
        <v>419</v>
      </c>
      <c r="F104" s="6"/>
    </row>
    <row r="105" spans="1:7" x14ac:dyDescent="0.25">
      <c r="A105" s="50" t="s">
        <v>907</v>
      </c>
      <c r="B105" s="76" t="s">
        <v>465</v>
      </c>
      <c r="C105" s="5" t="str">
        <f>"619217822648"</f>
        <v>619217822648</v>
      </c>
      <c r="D105" s="2">
        <v>32.5</v>
      </c>
      <c r="E105" s="41" t="s">
        <v>419</v>
      </c>
      <c r="F105" s="6"/>
    </row>
    <row r="106" spans="1:7" x14ac:dyDescent="0.25">
      <c r="A106" s="50" t="s">
        <v>907</v>
      </c>
      <c r="B106" s="76" t="s">
        <v>465</v>
      </c>
      <c r="C106" s="5" t="str">
        <f>"619217842647"</f>
        <v>619217842647</v>
      </c>
      <c r="D106" s="2">
        <v>31.38</v>
      </c>
      <c r="E106" s="41" t="s">
        <v>419</v>
      </c>
      <c r="F106" s="6"/>
    </row>
    <row r="107" spans="1:7" x14ac:dyDescent="0.25">
      <c r="A107" s="50" t="s">
        <v>907</v>
      </c>
      <c r="B107" s="76" t="s">
        <v>465</v>
      </c>
      <c r="C107" s="5" t="str">
        <f>"619217842646"</f>
        <v>619217842646</v>
      </c>
      <c r="D107" s="2">
        <v>30</v>
      </c>
      <c r="E107" s="41" t="s">
        <v>419</v>
      </c>
      <c r="F107" s="6"/>
    </row>
    <row r="108" spans="1:7" x14ac:dyDescent="0.25">
      <c r="A108" s="50" t="s">
        <v>907</v>
      </c>
      <c r="B108" s="76" t="s">
        <v>465</v>
      </c>
      <c r="C108" s="5" t="str">
        <f>"619217822644"</f>
        <v>619217822644</v>
      </c>
      <c r="D108" s="2">
        <v>35.5</v>
      </c>
      <c r="E108" s="41" t="s">
        <v>419</v>
      </c>
      <c r="F108" s="6"/>
    </row>
    <row r="109" spans="1:7" x14ac:dyDescent="0.25">
      <c r="A109" s="50" t="s">
        <v>907</v>
      </c>
      <c r="B109" s="76" t="s">
        <v>465</v>
      </c>
      <c r="C109" s="5" t="str">
        <f>"619217842643"</f>
        <v>619217842643</v>
      </c>
      <c r="D109" s="2">
        <v>38.380000000000003</v>
      </c>
      <c r="E109" s="41" t="s">
        <v>419</v>
      </c>
      <c r="F109" s="6"/>
      <c r="G109" s="6"/>
    </row>
    <row r="110" spans="1:7" x14ac:dyDescent="0.25">
      <c r="A110" s="50" t="s">
        <v>907</v>
      </c>
      <c r="B110" s="76" t="s">
        <v>465</v>
      </c>
      <c r="C110" s="5" t="str">
        <f>"619217842642"</f>
        <v>619217842642</v>
      </c>
      <c r="D110" s="2">
        <v>38</v>
      </c>
      <c r="E110" s="41" t="s">
        <v>419</v>
      </c>
      <c r="F110" s="6"/>
      <c r="G110" s="6"/>
    </row>
    <row r="111" spans="1:7" x14ac:dyDescent="0.25">
      <c r="A111" s="50" t="s">
        <v>907</v>
      </c>
      <c r="B111" s="76" t="s">
        <v>465</v>
      </c>
      <c r="C111" s="5" t="str">
        <f>"619217842641"</f>
        <v>619217842641</v>
      </c>
      <c r="D111" s="2">
        <v>34.380000000000003</v>
      </c>
      <c r="E111" s="41" t="s">
        <v>419</v>
      </c>
      <c r="F111" s="6"/>
      <c r="G111" s="6"/>
    </row>
    <row r="112" spans="1:7" x14ac:dyDescent="0.25">
      <c r="A112" s="50" t="s">
        <v>907</v>
      </c>
      <c r="B112" s="76" t="s">
        <v>465</v>
      </c>
      <c r="C112" s="5" t="str">
        <f>"619217842638"</f>
        <v>619217842638</v>
      </c>
      <c r="D112" s="2">
        <v>30.88</v>
      </c>
      <c r="E112" s="41" t="s">
        <v>419</v>
      </c>
      <c r="F112" s="6"/>
      <c r="G112" s="6"/>
    </row>
    <row r="113" spans="1:7" x14ac:dyDescent="0.25">
      <c r="A113" s="50" t="s">
        <v>907</v>
      </c>
      <c r="B113" s="76" t="s">
        <v>465</v>
      </c>
      <c r="C113" s="5" t="str">
        <f>"619217842636"</f>
        <v>619217842636</v>
      </c>
      <c r="D113" s="2">
        <v>30.63</v>
      </c>
      <c r="E113" s="41" t="s">
        <v>419</v>
      </c>
      <c r="F113" s="6"/>
      <c r="G113" s="6"/>
    </row>
    <row r="114" spans="1:7" x14ac:dyDescent="0.25">
      <c r="A114" s="50" t="s">
        <v>907</v>
      </c>
      <c r="B114" s="76" t="s">
        <v>465</v>
      </c>
      <c r="C114" s="5" t="str">
        <f>"619217842635"</f>
        <v>619217842635</v>
      </c>
      <c r="D114" s="2">
        <v>32</v>
      </c>
      <c r="E114" s="41" t="s">
        <v>419</v>
      </c>
      <c r="F114" s="6"/>
      <c r="G114" s="6"/>
    </row>
    <row r="115" spans="1:7" x14ac:dyDescent="0.25">
      <c r="A115" s="50" t="s">
        <v>907</v>
      </c>
      <c r="B115" s="76" t="s">
        <v>465</v>
      </c>
      <c r="C115" s="5" t="str">
        <f>"619217842634"</f>
        <v>619217842634</v>
      </c>
      <c r="D115" s="2">
        <v>28.13</v>
      </c>
      <c r="E115" s="41" t="s">
        <v>419</v>
      </c>
      <c r="F115" s="6"/>
      <c r="G115" s="6"/>
    </row>
    <row r="116" spans="1:7" x14ac:dyDescent="0.25">
      <c r="A116" s="50" t="s">
        <v>907</v>
      </c>
      <c r="B116" s="76" t="s">
        <v>465</v>
      </c>
      <c r="C116" s="5" t="str">
        <f>"619217842633"</f>
        <v>619217842633</v>
      </c>
      <c r="D116" s="2">
        <v>35</v>
      </c>
      <c r="E116" s="41" t="s">
        <v>419</v>
      </c>
      <c r="F116" s="6"/>
      <c r="G116" s="6"/>
    </row>
    <row r="117" spans="1:7" x14ac:dyDescent="0.25">
      <c r="A117" s="50" t="s">
        <v>907</v>
      </c>
      <c r="B117" s="76" t="s">
        <v>465</v>
      </c>
      <c r="C117" s="5" t="str">
        <f>"619217842631"</f>
        <v>619217842631</v>
      </c>
      <c r="D117" s="2">
        <v>27.25</v>
      </c>
      <c r="E117" s="41" t="s">
        <v>419</v>
      </c>
      <c r="F117" s="6"/>
      <c r="G117" s="6"/>
    </row>
    <row r="118" spans="1:7" x14ac:dyDescent="0.25">
      <c r="A118" s="50" t="s">
        <v>907</v>
      </c>
      <c r="B118" s="76" t="s">
        <v>465</v>
      </c>
      <c r="C118" s="5" t="str">
        <f>"619217842628"</f>
        <v>619217842628</v>
      </c>
      <c r="D118" s="2">
        <v>33.380000000000003</v>
      </c>
      <c r="E118" s="41" t="s">
        <v>419</v>
      </c>
      <c r="F118" s="6"/>
      <c r="G118" s="6"/>
    </row>
    <row r="119" spans="1:7" x14ac:dyDescent="0.25">
      <c r="A119" s="50" t="s">
        <v>907</v>
      </c>
      <c r="B119" s="76" t="s">
        <v>465</v>
      </c>
      <c r="C119" s="5" t="str">
        <f>"619217842627"</f>
        <v>619217842627</v>
      </c>
      <c r="D119" s="2">
        <v>31.13</v>
      </c>
      <c r="E119" s="41" t="s">
        <v>419</v>
      </c>
      <c r="F119" s="6"/>
      <c r="G119" s="6"/>
    </row>
    <row r="120" spans="1:7" x14ac:dyDescent="0.25">
      <c r="A120" s="50" t="s">
        <v>907</v>
      </c>
      <c r="B120" s="76" t="s">
        <v>465</v>
      </c>
      <c r="C120" s="5" t="str">
        <f>"619217372625"</f>
        <v>619217372625</v>
      </c>
      <c r="D120" s="2">
        <v>32.380000000000003</v>
      </c>
      <c r="E120" s="41" t="s">
        <v>419</v>
      </c>
      <c r="F120" s="6"/>
      <c r="G120" s="6"/>
    </row>
    <row r="121" spans="1:7" x14ac:dyDescent="0.25">
      <c r="A121" s="50" t="s">
        <v>907</v>
      </c>
      <c r="B121" s="76" t="s">
        <v>465</v>
      </c>
      <c r="C121" s="5" t="str">
        <f>"619217842624"</f>
        <v>619217842624</v>
      </c>
      <c r="D121" s="2">
        <v>30.25</v>
      </c>
      <c r="E121" s="41" t="s">
        <v>419</v>
      </c>
      <c r="F121" s="6"/>
      <c r="G121" s="6"/>
    </row>
    <row r="122" spans="1:7" x14ac:dyDescent="0.25">
      <c r="A122" s="50" t="s">
        <v>907</v>
      </c>
      <c r="B122" s="76" t="s">
        <v>465</v>
      </c>
      <c r="C122" s="5" t="str">
        <f>"619217822623"</f>
        <v>619217822623</v>
      </c>
      <c r="D122" s="2">
        <v>31</v>
      </c>
      <c r="E122" s="41" t="s">
        <v>419</v>
      </c>
      <c r="F122" s="6"/>
      <c r="G122" s="6"/>
    </row>
    <row r="123" spans="1:7" x14ac:dyDescent="0.25">
      <c r="A123" s="50" t="s">
        <v>907</v>
      </c>
      <c r="B123" s="76" t="s">
        <v>465</v>
      </c>
      <c r="C123" s="5" t="str">
        <f>"619217842622"</f>
        <v>619217842622</v>
      </c>
      <c r="D123" s="2">
        <v>34.380000000000003</v>
      </c>
      <c r="E123" s="41" t="s">
        <v>419</v>
      </c>
      <c r="F123" s="6"/>
      <c r="G123" s="6"/>
    </row>
    <row r="124" spans="1:7" x14ac:dyDescent="0.25">
      <c r="A124" s="506" t="s">
        <v>907</v>
      </c>
      <c r="B124" s="76" t="s">
        <v>465</v>
      </c>
      <c r="C124" s="5" t="str">
        <f>"619217842645"</f>
        <v>619217842645</v>
      </c>
      <c r="D124" s="2">
        <v>25.75</v>
      </c>
      <c r="E124" s="66" t="s">
        <v>420</v>
      </c>
      <c r="F124" s="6"/>
      <c r="G124" s="6"/>
    </row>
    <row r="125" spans="1:7" x14ac:dyDescent="0.25">
      <c r="A125" s="506" t="s">
        <v>907</v>
      </c>
      <c r="B125" s="76" t="s">
        <v>465</v>
      </c>
      <c r="C125" s="5" t="str">
        <f>"619217842640"</f>
        <v>619217842640</v>
      </c>
      <c r="D125" s="2">
        <v>20.5</v>
      </c>
      <c r="E125" s="66" t="s">
        <v>420</v>
      </c>
      <c r="F125" s="6"/>
      <c r="G125" s="6"/>
    </row>
    <row r="126" spans="1:7" x14ac:dyDescent="0.25">
      <c r="A126" s="506" t="s">
        <v>907</v>
      </c>
      <c r="B126" s="76" t="s">
        <v>465</v>
      </c>
      <c r="C126" s="5" t="str">
        <f>"619217822639"</f>
        <v>619217822639</v>
      </c>
      <c r="D126" s="2">
        <v>25</v>
      </c>
      <c r="E126" s="66" t="s">
        <v>420</v>
      </c>
      <c r="F126" s="6"/>
      <c r="G126" s="6"/>
    </row>
    <row r="127" spans="1:7" x14ac:dyDescent="0.25">
      <c r="A127" s="506" t="s">
        <v>907</v>
      </c>
      <c r="B127" s="76" t="s">
        <v>465</v>
      </c>
      <c r="C127" s="5" t="str">
        <f>"619217842637"</f>
        <v>619217842637</v>
      </c>
      <c r="D127" s="2">
        <v>28.75</v>
      </c>
      <c r="E127" s="66" t="s">
        <v>420</v>
      </c>
      <c r="F127" s="6"/>
      <c r="G127" s="6"/>
    </row>
    <row r="128" spans="1:7" x14ac:dyDescent="0.25">
      <c r="A128" s="506" t="s">
        <v>907</v>
      </c>
      <c r="B128" s="76" t="s">
        <v>465</v>
      </c>
      <c r="C128" s="5" t="str">
        <f>"619217842632"</f>
        <v>619217842632</v>
      </c>
      <c r="D128" s="2">
        <v>22.38</v>
      </c>
      <c r="E128" s="66" t="s">
        <v>420</v>
      </c>
      <c r="F128" s="6"/>
      <c r="G128" s="6"/>
    </row>
    <row r="129" spans="1:12" x14ac:dyDescent="0.25">
      <c r="A129" s="50" t="s">
        <v>907</v>
      </c>
      <c r="B129" s="76" t="s">
        <v>465</v>
      </c>
      <c r="C129" s="5" t="str">
        <f>"619217822630"</f>
        <v>619217822630</v>
      </c>
      <c r="D129" s="2">
        <v>19.5</v>
      </c>
      <c r="E129" s="66" t="s">
        <v>420</v>
      </c>
      <c r="F129" s="6"/>
      <c r="G129" s="6"/>
    </row>
    <row r="130" spans="1:12" x14ac:dyDescent="0.25">
      <c r="A130" s="50" t="s">
        <v>907</v>
      </c>
      <c r="B130" s="76" t="s">
        <v>465</v>
      </c>
      <c r="C130" s="5" t="str">
        <f>"619217822629"</f>
        <v>619217822629</v>
      </c>
      <c r="D130" s="2">
        <v>31.25</v>
      </c>
      <c r="E130" s="66" t="s">
        <v>420</v>
      </c>
      <c r="F130" s="6"/>
      <c r="G130" s="6"/>
    </row>
    <row r="131" spans="1:12" x14ac:dyDescent="0.25">
      <c r="A131" s="117" t="s">
        <v>907</v>
      </c>
      <c r="B131" s="303" t="s">
        <v>465</v>
      </c>
      <c r="C131" s="106" t="str">
        <f>"619217842626"</f>
        <v>619217842626</v>
      </c>
      <c r="D131" s="179">
        <v>29.63</v>
      </c>
      <c r="E131" s="119" t="s">
        <v>420</v>
      </c>
      <c r="F131" s="6"/>
      <c r="G131" s="6"/>
    </row>
    <row r="132" spans="1:12" x14ac:dyDescent="0.25">
      <c r="A132" s="511" t="s">
        <v>910</v>
      </c>
      <c r="B132" s="1" t="s">
        <v>463</v>
      </c>
      <c r="C132" s="5" t="str">
        <f>"619217841962"</f>
        <v>619217841962</v>
      </c>
      <c r="D132" s="2">
        <v>35.86</v>
      </c>
      <c r="E132" s="41" t="s">
        <v>419</v>
      </c>
      <c r="F132" s="6"/>
      <c r="G132" s="6"/>
      <c r="H132" s="7"/>
      <c r="I132" s="6"/>
      <c r="J132" s="6"/>
      <c r="K132" s="6"/>
      <c r="L132" s="6"/>
    </row>
    <row r="133" spans="1:12" x14ac:dyDescent="0.25">
      <c r="A133" s="511" t="s">
        <v>910</v>
      </c>
      <c r="B133" s="1" t="s">
        <v>463</v>
      </c>
      <c r="C133" s="5" t="str">
        <f>"619217841948"</f>
        <v>619217841948</v>
      </c>
      <c r="D133" s="2">
        <v>50.43</v>
      </c>
      <c r="E133" s="41" t="s">
        <v>419</v>
      </c>
      <c r="F133" s="6"/>
      <c r="G133" s="6"/>
      <c r="H133" s="7"/>
      <c r="I133" s="6"/>
      <c r="J133" s="6"/>
      <c r="K133" s="6"/>
      <c r="L133" s="6"/>
    </row>
    <row r="134" spans="1:12" x14ac:dyDescent="0.25">
      <c r="A134" s="511" t="s">
        <v>910</v>
      </c>
      <c r="B134" s="1" t="s">
        <v>463</v>
      </c>
      <c r="C134" s="5" t="str">
        <f>"619217841937"</f>
        <v>619217841937</v>
      </c>
      <c r="D134" s="2">
        <v>48.86</v>
      </c>
      <c r="E134" s="41" t="s">
        <v>419</v>
      </c>
      <c r="F134" s="6"/>
      <c r="G134" s="6"/>
      <c r="H134" s="7"/>
      <c r="I134" s="6"/>
      <c r="J134" s="6"/>
      <c r="K134" s="6"/>
      <c r="L134" s="6"/>
    </row>
    <row r="135" spans="1:12" x14ac:dyDescent="0.25">
      <c r="A135" s="511" t="s">
        <v>910</v>
      </c>
      <c r="B135" s="1" t="s">
        <v>463</v>
      </c>
      <c r="C135" s="5" t="str">
        <f>"619217841936"</f>
        <v>619217841936</v>
      </c>
      <c r="D135" s="2">
        <v>47.29</v>
      </c>
      <c r="E135" s="41" t="s">
        <v>419</v>
      </c>
      <c r="F135" s="6"/>
      <c r="G135" s="6"/>
      <c r="H135" s="7"/>
      <c r="I135" s="6"/>
      <c r="J135" s="6"/>
      <c r="K135" s="6"/>
      <c r="L135" s="6"/>
    </row>
    <row r="136" spans="1:12" x14ac:dyDescent="0.25">
      <c r="A136" s="511" t="s">
        <v>910</v>
      </c>
      <c r="B136" s="1" t="s">
        <v>463</v>
      </c>
      <c r="C136" s="5" t="str">
        <f>"619217841951"</f>
        <v>619217841951</v>
      </c>
      <c r="D136" s="2">
        <v>46.43</v>
      </c>
      <c r="E136" s="41" t="s">
        <v>419</v>
      </c>
      <c r="F136" s="6"/>
      <c r="G136" s="6"/>
      <c r="H136" s="7"/>
      <c r="I136" s="6"/>
      <c r="J136" s="6"/>
      <c r="K136" s="6"/>
      <c r="L136" s="6"/>
    </row>
    <row r="137" spans="1:12" x14ac:dyDescent="0.25">
      <c r="A137" s="511" t="s">
        <v>910</v>
      </c>
      <c r="B137" s="1" t="s">
        <v>463</v>
      </c>
      <c r="C137" s="5" t="str">
        <f>"619217841944"</f>
        <v>619217841944</v>
      </c>
      <c r="D137" s="2">
        <v>45.77</v>
      </c>
      <c r="E137" s="41" t="s">
        <v>419</v>
      </c>
      <c r="F137" s="6"/>
      <c r="G137" s="6"/>
      <c r="H137" s="7"/>
      <c r="I137" s="6"/>
      <c r="J137" s="6"/>
      <c r="K137" s="6"/>
      <c r="L137" s="6"/>
    </row>
    <row r="138" spans="1:12" x14ac:dyDescent="0.25">
      <c r="A138" s="511" t="s">
        <v>910</v>
      </c>
      <c r="B138" s="1" t="s">
        <v>463</v>
      </c>
      <c r="C138" s="5" t="str">
        <f>"619217841934"</f>
        <v>619217841934</v>
      </c>
      <c r="D138" s="2">
        <v>45.71</v>
      </c>
      <c r="E138" s="41" t="s">
        <v>419</v>
      </c>
      <c r="F138" s="6"/>
      <c r="G138" s="6"/>
      <c r="H138" s="7"/>
      <c r="I138" s="6"/>
      <c r="J138" s="6"/>
      <c r="K138" s="6"/>
      <c r="L138" s="6"/>
    </row>
    <row r="139" spans="1:12" x14ac:dyDescent="0.25">
      <c r="A139" s="511" t="s">
        <v>910</v>
      </c>
      <c r="B139" s="1" t="s">
        <v>463</v>
      </c>
      <c r="C139" s="5" t="str">
        <f>"619217821916"</f>
        <v>619217821916</v>
      </c>
      <c r="D139" s="2">
        <v>45.43</v>
      </c>
      <c r="E139" s="41" t="s">
        <v>419</v>
      </c>
      <c r="F139" s="6"/>
      <c r="G139" s="6"/>
      <c r="H139" s="7"/>
      <c r="I139" s="6"/>
      <c r="J139" s="6"/>
      <c r="K139" s="6"/>
      <c r="L139" s="6"/>
    </row>
    <row r="140" spans="1:12" x14ac:dyDescent="0.25">
      <c r="A140" s="511" t="s">
        <v>910</v>
      </c>
      <c r="B140" s="1" t="s">
        <v>463</v>
      </c>
      <c r="C140" s="5" t="str">
        <f>"619217841922"</f>
        <v>619217841922</v>
      </c>
      <c r="D140" s="2">
        <v>44.71</v>
      </c>
      <c r="E140" s="41" t="s">
        <v>419</v>
      </c>
      <c r="F140" s="6"/>
      <c r="G140" s="6"/>
      <c r="H140" s="7"/>
      <c r="I140" s="6"/>
      <c r="J140" s="6"/>
      <c r="K140" s="6"/>
      <c r="L140" s="6"/>
    </row>
    <row r="141" spans="1:12" x14ac:dyDescent="0.25">
      <c r="A141" s="511" t="s">
        <v>910</v>
      </c>
      <c r="B141" s="1" t="s">
        <v>463</v>
      </c>
      <c r="C141" s="5" t="str">
        <f>"619217841949"</f>
        <v>619217841949</v>
      </c>
      <c r="D141" s="2">
        <v>44.57</v>
      </c>
      <c r="E141" s="41" t="s">
        <v>419</v>
      </c>
      <c r="F141" s="6"/>
      <c r="G141" s="6"/>
      <c r="H141" s="7"/>
      <c r="I141" s="6"/>
      <c r="J141" s="6"/>
      <c r="K141" s="6"/>
      <c r="L141" s="6"/>
    </row>
    <row r="142" spans="1:12" x14ac:dyDescent="0.25">
      <c r="A142" s="511" t="s">
        <v>910</v>
      </c>
      <c r="B142" s="1" t="s">
        <v>463</v>
      </c>
      <c r="C142" s="5" t="str">
        <f>"619217821946"</f>
        <v>619217821946</v>
      </c>
      <c r="D142" s="2">
        <v>44.43</v>
      </c>
      <c r="E142" s="41" t="s">
        <v>419</v>
      </c>
      <c r="F142" s="6"/>
      <c r="G142" s="6"/>
      <c r="H142" s="7"/>
      <c r="I142" s="6"/>
      <c r="J142" s="6"/>
      <c r="K142" s="6"/>
      <c r="L142" s="6"/>
    </row>
    <row r="143" spans="1:12" x14ac:dyDescent="0.25">
      <c r="A143" s="511" t="s">
        <v>910</v>
      </c>
      <c r="B143" s="1" t="s">
        <v>463</v>
      </c>
      <c r="C143" s="5" t="str">
        <f>"619217821947"</f>
        <v>619217821947</v>
      </c>
      <c r="D143" s="2">
        <v>44.29</v>
      </c>
      <c r="E143" s="41" t="s">
        <v>419</v>
      </c>
      <c r="F143" s="6"/>
      <c r="G143" s="6"/>
      <c r="H143" s="7"/>
      <c r="I143" s="6"/>
      <c r="J143" s="6"/>
      <c r="K143" s="6"/>
      <c r="L143" s="6"/>
    </row>
    <row r="144" spans="1:12" x14ac:dyDescent="0.25">
      <c r="A144" s="511" t="s">
        <v>910</v>
      </c>
      <c r="B144" s="1" t="s">
        <v>463</v>
      </c>
      <c r="C144" s="5" t="str">
        <f>"619217841942"</f>
        <v>619217841942</v>
      </c>
      <c r="D144" s="2">
        <v>44</v>
      </c>
      <c r="E144" s="41" t="s">
        <v>419</v>
      </c>
      <c r="F144" s="6"/>
      <c r="G144" s="6"/>
      <c r="H144" s="7"/>
      <c r="I144" s="6"/>
      <c r="J144" s="6"/>
      <c r="K144" s="6"/>
      <c r="L144" s="6"/>
    </row>
    <row r="145" spans="1:12" x14ac:dyDescent="0.25">
      <c r="A145" s="511" t="s">
        <v>910</v>
      </c>
      <c r="B145" s="1" t="s">
        <v>463</v>
      </c>
      <c r="C145" s="5" t="str">
        <f>"619217841943"</f>
        <v>619217841943</v>
      </c>
      <c r="D145" s="2">
        <v>42.86</v>
      </c>
      <c r="E145" s="41" t="s">
        <v>419</v>
      </c>
      <c r="F145" s="6"/>
      <c r="G145" s="6"/>
      <c r="H145" s="7"/>
      <c r="I145" s="6"/>
      <c r="J145" s="6"/>
      <c r="K145" s="6"/>
      <c r="L145" s="6"/>
    </row>
    <row r="146" spans="1:12" x14ac:dyDescent="0.25">
      <c r="A146" s="511" t="s">
        <v>910</v>
      </c>
      <c r="B146" s="1" t="s">
        <v>463</v>
      </c>
      <c r="C146" s="5" t="str">
        <f>"619217841932"</f>
        <v>619217841932</v>
      </c>
      <c r="D146" s="2">
        <v>42.71</v>
      </c>
      <c r="E146" s="41" t="s">
        <v>419</v>
      </c>
      <c r="F146" s="6"/>
      <c r="G146" s="6"/>
      <c r="H146" s="7"/>
      <c r="I146" s="6"/>
      <c r="J146" s="6"/>
      <c r="K146" s="6"/>
      <c r="L146" s="6"/>
    </row>
    <row r="147" spans="1:12" x14ac:dyDescent="0.25">
      <c r="A147" s="511" t="s">
        <v>910</v>
      </c>
      <c r="B147" s="1" t="s">
        <v>463</v>
      </c>
      <c r="C147" s="5" t="str">
        <f>"619217821919"</f>
        <v>619217821919</v>
      </c>
      <c r="D147" s="2">
        <v>42.57</v>
      </c>
      <c r="E147" s="41" t="s">
        <v>419</v>
      </c>
      <c r="F147" s="6"/>
      <c r="G147" s="6"/>
      <c r="H147" s="7"/>
      <c r="I147" s="6"/>
      <c r="J147" s="6"/>
      <c r="K147" s="6"/>
      <c r="L147" s="6"/>
    </row>
    <row r="148" spans="1:12" x14ac:dyDescent="0.25">
      <c r="A148" s="511" t="s">
        <v>910</v>
      </c>
      <c r="B148" s="1" t="s">
        <v>463</v>
      </c>
      <c r="C148" s="5" t="str">
        <f>"619217841941"</f>
        <v>619217841941</v>
      </c>
      <c r="D148" s="2">
        <v>42.43</v>
      </c>
      <c r="E148" s="41" t="s">
        <v>419</v>
      </c>
      <c r="F148" s="6"/>
      <c r="G148" s="6"/>
      <c r="H148" s="7"/>
      <c r="I148" s="6"/>
      <c r="J148" s="6"/>
      <c r="K148" s="6"/>
      <c r="L148" s="6"/>
    </row>
    <row r="149" spans="1:12" x14ac:dyDescent="0.25">
      <c r="A149" s="511" t="s">
        <v>910</v>
      </c>
      <c r="B149" s="1" t="s">
        <v>463</v>
      </c>
      <c r="C149" s="5" t="str">
        <f>"619217841953"</f>
        <v>619217841953</v>
      </c>
      <c r="D149" s="2">
        <v>42.41</v>
      </c>
      <c r="E149" s="41" t="s">
        <v>419</v>
      </c>
      <c r="F149" s="6"/>
      <c r="G149" s="6"/>
      <c r="H149" s="7"/>
      <c r="I149" s="6"/>
      <c r="J149" s="6"/>
      <c r="K149" s="6"/>
      <c r="L149" s="6"/>
    </row>
    <row r="150" spans="1:12" x14ac:dyDescent="0.25">
      <c r="A150" s="511" t="s">
        <v>910</v>
      </c>
      <c r="B150" s="1" t="s">
        <v>463</v>
      </c>
      <c r="C150" s="5" t="str">
        <f>"619217841945"</f>
        <v>619217841945</v>
      </c>
      <c r="D150" s="2">
        <v>41.57</v>
      </c>
      <c r="E150" s="41" t="s">
        <v>419</v>
      </c>
      <c r="F150" s="6"/>
      <c r="G150" s="6"/>
      <c r="H150" s="7"/>
      <c r="I150" s="6"/>
      <c r="J150" s="6"/>
      <c r="K150" s="6"/>
      <c r="L150" s="6"/>
    </row>
    <row r="151" spans="1:12" x14ac:dyDescent="0.25">
      <c r="A151" s="511" t="s">
        <v>910</v>
      </c>
      <c r="B151" s="76" t="s">
        <v>463</v>
      </c>
      <c r="C151" s="5" t="str">
        <f>"619217841925"</f>
        <v>619217841925</v>
      </c>
      <c r="D151" s="2">
        <v>40.71</v>
      </c>
      <c r="E151" s="41" t="s">
        <v>419</v>
      </c>
      <c r="F151" s="6"/>
      <c r="G151" s="6"/>
      <c r="H151" s="7"/>
      <c r="I151" s="6"/>
      <c r="J151" s="6"/>
      <c r="K151" s="6"/>
      <c r="L151" s="6"/>
    </row>
    <row r="152" spans="1:12" x14ac:dyDescent="0.25">
      <c r="A152" s="511" t="s">
        <v>910</v>
      </c>
      <c r="B152" s="1" t="s">
        <v>463</v>
      </c>
      <c r="C152" s="5" t="str">
        <f>"619217821939"</f>
        <v>619217821939</v>
      </c>
      <c r="D152" s="2">
        <v>39.71</v>
      </c>
      <c r="E152" s="41" t="s">
        <v>419</v>
      </c>
      <c r="F152" s="6"/>
      <c r="G152" s="6"/>
      <c r="H152" s="7"/>
      <c r="I152" s="6"/>
      <c r="J152" s="6"/>
      <c r="K152" s="6"/>
      <c r="L152" s="6"/>
    </row>
    <row r="153" spans="1:12" x14ac:dyDescent="0.25">
      <c r="A153" s="511" t="s">
        <v>910</v>
      </c>
      <c r="B153" s="1" t="s">
        <v>463</v>
      </c>
      <c r="C153" s="5" t="str">
        <f>"619217841917"</f>
        <v>619217841917</v>
      </c>
      <c r="D153" s="2">
        <v>38.29</v>
      </c>
      <c r="E153" s="41" t="s">
        <v>419</v>
      </c>
      <c r="F153" s="6"/>
      <c r="G153" s="6"/>
      <c r="H153" s="7"/>
      <c r="I153" s="6"/>
      <c r="J153" s="6"/>
      <c r="K153" s="6"/>
      <c r="L153" s="6"/>
    </row>
    <row r="154" spans="1:12" x14ac:dyDescent="0.25">
      <c r="A154" s="511" t="s">
        <v>910</v>
      </c>
      <c r="B154" s="1" t="s">
        <v>463</v>
      </c>
      <c r="C154" s="5" t="str">
        <f>"619217821927"</f>
        <v>619217821927</v>
      </c>
      <c r="D154" s="2">
        <v>36.29</v>
      </c>
      <c r="E154" s="41" t="s">
        <v>419</v>
      </c>
      <c r="F154" s="6"/>
      <c r="G154" s="6"/>
      <c r="H154" s="7"/>
      <c r="I154" s="6"/>
      <c r="J154" s="6"/>
      <c r="K154" s="6"/>
      <c r="L154" s="6"/>
    </row>
    <row r="155" spans="1:12" x14ac:dyDescent="0.25">
      <c r="A155" s="511" t="s">
        <v>910</v>
      </c>
      <c r="B155" s="1" t="s">
        <v>463</v>
      </c>
      <c r="C155" s="5" t="str">
        <f>"619217841940"</f>
        <v>619217841940</v>
      </c>
      <c r="D155" s="2">
        <v>36.14</v>
      </c>
      <c r="E155" s="41" t="s">
        <v>419</v>
      </c>
      <c r="F155" s="6"/>
      <c r="G155" s="6"/>
      <c r="H155" s="7"/>
      <c r="I155" s="6"/>
      <c r="J155" s="6"/>
      <c r="K155" s="6"/>
      <c r="L155" s="6"/>
    </row>
    <row r="156" spans="1:12" x14ac:dyDescent="0.25">
      <c r="A156" s="511" t="s">
        <v>910</v>
      </c>
      <c r="B156" s="1" t="s">
        <v>463</v>
      </c>
      <c r="C156" s="5" t="str">
        <f>"619217821950"</f>
        <v>619217821950</v>
      </c>
      <c r="D156" s="2">
        <v>32</v>
      </c>
      <c r="E156" s="41" t="s">
        <v>419</v>
      </c>
      <c r="F156" s="6"/>
      <c r="G156" s="6"/>
      <c r="H156" s="7"/>
      <c r="I156" s="6"/>
      <c r="J156" s="6"/>
      <c r="K156" s="6"/>
      <c r="L156" s="6"/>
    </row>
    <row r="157" spans="1:12" x14ac:dyDescent="0.25">
      <c r="A157" s="511" t="s">
        <v>910</v>
      </c>
      <c r="B157" s="512" t="s">
        <v>463</v>
      </c>
      <c r="C157" s="5" t="str">
        <f>"619217841960"</f>
        <v>619217841960</v>
      </c>
      <c r="D157" s="2">
        <v>35.71</v>
      </c>
      <c r="E157" s="66" t="s">
        <v>420</v>
      </c>
      <c r="G157" s="6"/>
    </row>
    <row r="158" spans="1:12" x14ac:dyDescent="0.25">
      <c r="A158" s="511" t="s">
        <v>910</v>
      </c>
      <c r="B158" s="512" t="s">
        <v>463</v>
      </c>
      <c r="C158" s="5" t="str">
        <f>"619217841959"</f>
        <v>619217841959</v>
      </c>
      <c r="D158" s="2">
        <v>37</v>
      </c>
      <c r="E158" s="66" t="s">
        <v>420</v>
      </c>
      <c r="G158" s="6"/>
    </row>
    <row r="159" spans="1:12" x14ac:dyDescent="0.25">
      <c r="A159" s="511" t="s">
        <v>910</v>
      </c>
      <c r="B159" s="512" t="s">
        <v>463</v>
      </c>
      <c r="C159" s="5" t="str">
        <f>"619217841958"</f>
        <v>619217841958</v>
      </c>
      <c r="D159" s="2">
        <v>37.29</v>
      </c>
      <c r="E159" s="66" t="s">
        <v>420</v>
      </c>
      <c r="G159" s="6"/>
    </row>
    <row r="160" spans="1:12" x14ac:dyDescent="0.25">
      <c r="A160" s="511" t="s">
        <v>910</v>
      </c>
      <c r="B160" s="512" t="s">
        <v>463</v>
      </c>
      <c r="C160" s="5" t="str">
        <f>"619217841957"</f>
        <v>619217841957</v>
      </c>
      <c r="D160" s="2">
        <v>37.71</v>
      </c>
      <c r="E160" s="66" t="s">
        <v>420</v>
      </c>
      <c r="G160" s="6"/>
    </row>
    <row r="161" spans="1:7" x14ac:dyDescent="0.25">
      <c r="A161" s="511" t="s">
        <v>910</v>
      </c>
      <c r="B161" s="512" t="s">
        <v>463</v>
      </c>
      <c r="C161" s="5" t="str">
        <f>"619217841956"</f>
        <v>619217841956</v>
      </c>
      <c r="D161" s="2">
        <v>38</v>
      </c>
      <c r="E161" s="66" t="s">
        <v>420</v>
      </c>
      <c r="G161" s="6"/>
    </row>
    <row r="162" spans="1:7" x14ac:dyDescent="0.25">
      <c r="A162" s="511" t="s">
        <v>910</v>
      </c>
      <c r="B162" s="1" t="s">
        <v>463</v>
      </c>
      <c r="C162" s="5" t="str">
        <f>"619217841955"</f>
        <v>619217841955</v>
      </c>
      <c r="D162" s="2">
        <v>33.57</v>
      </c>
      <c r="E162" s="66" t="s">
        <v>420</v>
      </c>
      <c r="G162" s="6"/>
    </row>
    <row r="163" spans="1:7" x14ac:dyDescent="0.25">
      <c r="A163" s="511" t="s">
        <v>910</v>
      </c>
      <c r="B163" s="1" t="s">
        <v>463</v>
      </c>
      <c r="C163" s="5" t="str">
        <f>"619217841954"</f>
        <v>619217841954</v>
      </c>
      <c r="D163" s="2">
        <v>35</v>
      </c>
      <c r="E163" s="66" t="s">
        <v>420</v>
      </c>
      <c r="G163" s="6"/>
    </row>
    <row r="164" spans="1:7" x14ac:dyDescent="0.25">
      <c r="A164" s="511" t="s">
        <v>910</v>
      </c>
      <c r="B164" s="76" t="s">
        <v>463</v>
      </c>
      <c r="C164" s="5" t="str">
        <f>"619217821952"</f>
        <v>619217821952</v>
      </c>
      <c r="D164" s="2">
        <v>27.14</v>
      </c>
      <c r="E164" s="66" t="s">
        <v>420</v>
      </c>
      <c r="G164" s="6"/>
    </row>
    <row r="165" spans="1:7" x14ac:dyDescent="0.25">
      <c r="A165" s="2" t="s">
        <v>1055</v>
      </c>
      <c r="B165" s="2" t="s">
        <v>639</v>
      </c>
      <c r="C165" s="5" t="str">
        <f>"619217842984"</f>
        <v>619217842984</v>
      </c>
      <c r="D165" s="2">
        <v>39.43</v>
      </c>
      <c r="E165" s="41" t="s">
        <v>419</v>
      </c>
    </row>
    <row r="166" spans="1:7" x14ac:dyDescent="0.25">
      <c r="A166" s="2" t="s">
        <v>1055</v>
      </c>
      <c r="B166" s="2" t="s">
        <v>639</v>
      </c>
      <c r="C166" s="5" t="str">
        <f>"619217842977"</f>
        <v>619217842977</v>
      </c>
      <c r="D166" s="2">
        <v>37.29</v>
      </c>
      <c r="E166" s="41" t="s">
        <v>419</v>
      </c>
    </row>
    <row r="167" spans="1:7" x14ac:dyDescent="0.25">
      <c r="A167" s="2" t="s">
        <v>1055</v>
      </c>
      <c r="B167" s="2" t="s">
        <v>639</v>
      </c>
      <c r="C167" s="5" t="str">
        <f>"619217842988"</f>
        <v>619217842988</v>
      </c>
      <c r="D167" s="2">
        <v>32.57</v>
      </c>
      <c r="E167" s="41" t="s">
        <v>419</v>
      </c>
    </row>
    <row r="168" spans="1:7" x14ac:dyDescent="0.25">
      <c r="A168" s="2" t="s">
        <v>1055</v>
      </c>
      <c r="B168" s="2" t="s">
        <v>639</v>
      </c>
      <c r="C168" s="5" t="str">
        <f>"619217842986"</f>
        <v>619217842986</v>
      </c>
      <c r="D168" s="2">
        <v>30.86</v>
      </c>
      <c r="E168" s="41" t="s">
        <v>419</v>
      </c>
    </row>
    <row r="169" spans="1:7" x14ac:dyDescent="0.25">
      <c r="A169" s="2" t="s">
        <v>1055</v>
      </c>
      <c r="B169" s="2" t="s">
        <v>639</v>
      </c>
      <c r="C169" s="5" t="str">
        <f>"619217842967"</f>
        <v>619217842967</v>
      </c>
      <c r="D169" s="2">
        <v>35.71</v>
      </c>
      <c r="E169" s="41" t="s">
        <v>419</v>
      </c>
    </row>
    <row r="170" spans="1:7" x14ac:dyDescent="0.25">
      <c r="A170" s="2" t="s">
        <v>1055</v>
      </c>
      <c r="B170" s="2" t="s">
        <v>639</v>
      </c>
      <c r="C170" s="5" t="str">
        <f>"619217822974"</f>
        <v>619217822974</v>
      </c>
      <c r="D170" s="2">
        <v>38</v>
      </c>
      <c r="E170" s="41" t="s">
        <v>419</v>
      </c>
    </row>
    <row r="171" spans="1:7" x14ac:dyDescent="0.25">
      <c r="A171" s="2" t="s">
        <v>1055</v>
      </c>
      <c r="B171" s="2" t="s">
        <v>639</v>
      </c>
      <c r="C171" s="5" t="str">
        <f>"619217822990"</f>
        <v>619217822990</v>
      </c>
      <c r="D171" s="2">
        <v>31.43</v>
      </c>
      <c r="E171" s="41" t="s">
        <v>419</v>
      </c>
    </row>
    <row r="172" spans="1:7" x14ac:dyDescent="0.25">
      <c r="A172" s="2" t="s">
        <v>1055</v>
      </c>
      <c r="B172" s="2" t="s">
        <v>639</v>
      </c>
      <c r="C172" s="5" t="str">
        <f>"619217822963"</f>
        <v>619217822963</v>
      </c>
      <c r="D172" s="2">
        <v>30.29</v>
      </c>
      <c r="E172" s="41" t="s">
        <v>419</v>
      </c>
    </row>
    <row r="173" spans="1:7" x14ac:dyDescent="0.25">
      <c r="A173" s="2" t="s">
        <v>1055</v>
      </c>
      <c r="B173" s="2" t="s">
        <v>639</v>
      </c>
      <c r="C173" s="5" t="str">
        <f>"619217823008"</f>
        <v>619217823008</v>
      </c>
      <c r="D173" s="2">
        <v>28.57</v>
      </c>
      <c r="E173" s="41" t="s">
        <v>419</v>
      </c>
    </row>
    <row r="174" spans="1:7" x14ac:dyDescent="0.25">
      <c r="A174" s="2" t="s">
        <v>1055</v>
      </c>
      <c r="B174" s="2" t="s">
        <v>639</v>
      </c>
      <c r="C174" s="5" t="str">
        <f>"619217782959"</f>
        <v>619217782959</v>
      </c>
      <c r="D174" s="2">
        <v>34.29</v>
      </c>
      <c r="E174" s="41" t="s">
        <v>419</v>
      </c>
    </row>
    <row r="175" spans="1:7" x14ac:dyDescent="0.25">
      <c r="A175" s="2" t="s">
        <v>1055</v>
      </c>
      <c r="B175" s="2" t="s">
        <v>639</v>
      </c>
      <c r="C175" s="5" t="str">
        <f>"619217372976"</f>
        <v>619217372976</v>
      </c>
      <c r="D175" s="2">
        <v>38.43</v>
      </c>
      <c r="E175" s="41" t="s">
        <v>419</v>
      </c>
    </row>
    <row r="176" spans="1:7" x14ac:dyDescent="0.25">
      <c r="A176" s="2" t="s">
        <v>1055</v>
      </c>
      <c r="B176" s="2" t="s">
        <v>639</v>
      </c>
      <c r="C176" s="5" t="str">
        <f>"619217842962"</f>
        <v>619217842962</v>
      </c>
      <c r="D176" s="2">
        <v>35.86</v>
      </c>
      <c r="E176" s="41" t="s">
        <v>419</v>
      </c>
    </row>
    <row r="177" spans="1:5" x14ac:dyDescent="0.25">
      <c r="A177" s="2" t="s">
        <v>1055</v>
      </c>
      <c r="B177" s="2" t="s">
        <v>639</v>
      </c>
      <c r="C177" s="5" t="str">
        <f>"619217842971"</f>
        <v>619217842971</v>
      </c>
      <c r="D177" s="2">
        <v>33.71</v>
      </c>
      <c r="E177" s="41" t="s">
        <v>419</v>
      </c>
    </row>
    <row r="178" spans="1:5" x14ac:dyDescent="0.25">
      <c r="A178" s="2" t="s">
        <v>1055</v>
      </c>
      <c r="B178" s="2" t="s">
        <v>639</v>
      </c>
      <c r="C178" s="5" t="str">
        <f>"619217842968"</f>
        <v>619217842968</v>
      </c>
      <c r="D178" s="2">
        <v>31.14</v>
      </c>
      <c r="E178" s="41" t="s">
        <v>419</v>
      </c>
    </row>
    <row r="179" spans="1:5" x14ac:dyDescent="0.25">
      <c r="A179" s="2" t="s">
        <v>1055</v>
      </c>
      <c r="B179" s="2" t="s">
        <v>639</v>
      </c>
      <c r="C179" s="5" t="str">
        <f>"619217843002"</f>
        <v>619217843002</v>
      </c>
      <c r="D179" s="2">
        <v>37.14</v>
      </c>
      <c r="E179" s="41" t="s">
        <v>419</v>
      </c>
    </row>
    <row r="180" spans="1:5" x14ac:dyDescent="0.25">
      <c r="A180" s="2" t="s">
        <v>1055</v>
      </c>
      <c r="B180" s="2" t="s">
        <v>639</v>
      </c>
      <c r="C180" s="5" t="str">
        <f>"619217822965"</f>
        <v>619217822965</v>
      </c>
      <c r="D180" s="2">
        <v>37.14</v>
      </c>
      <c r="E180" s="41" t="s">
        <v>419</v>
      </c>
    </row>
    <row r="181" spans="1:5" x14ac:dyDescent="0.25">
      <c r="A181" s="2" t="s">
        <v>1055</v>
      </c>
      <c r="B181" s="2" t="s">
        <v>639</v>
      </c>
      <c r="C181" s="5" t="str">
        <f>"619217843011"</f>
        <v>619217843011</v>
      </c>
      <c r="D181" s="2">
        <v>36.43</v>
      </c>
      <c r="E181" s="41" t="s">
        <v>419</v>
      </c>
    </row>
    <row r="182" spans="1:5" x14ac:dyDescent="0.25">
      <c r="A182" s="2" t="s">
        <v>1055</v>
      </c>
      <c r="B182" s="2" t="s">
        <v>639</v>
      </c>
      <c r="C182" s="5" t="str">
        <f>"619217842992"</f>
        <v>619217842992</v>
      </c>
      <c r="D182" s="2">
        <v>35.57</v>
      </c>
      <c r="E182" s="41" t="s">
        <v>419</v>
      </c>
    </row>
    <row r="183" spans="1:5" x14ac:dyDescent="0.25">
      <c r="A183" s="2" t="s">
        <v>1055</v>
      </c>
      <c r="B183" s="2" t="s">
        <v>639</v>
      </c>
      <c r="C183" s="5" t="str">
        <f>"619217842999"</f>
        <v>619217842999</v>
      </c>
      <c r="D183" s="2">
        <v>33.43</v>
      </c>
      <c r="E183" s="41" t="s">
        <v>419</v>
      </c>
    </row>
    <row r="184" spans="1:5" x14ac:dyDescent="0.25">
      <c r="A184" s="2" t="s">
        <v>1055</v>
      </c>
      <c r="B184" s="2" t="s">
        <v>639</v>
      </c>
      <c r="C184" s="5" t="str">
        <f>"619217842960"</f>
        <v>619217842960</v>
      </c>
      <c r="D184" s="2">
        <v>33.14</v>
      </c>
      <c r="E184" s="41" t="s">
        <v>419</v>
      </c>
    </row>
    <row r="185" spans="1:5" x14ac:dyDescent="0.25">
      <c r="A185" s="2" t="s">
        <v>1055</v>
      </c>
      <c r="B185" s="2" t="s">
        <v>639</v>
      </c>
      <c r="C185" s="5" t="str">
        <f>"619217842979"</f>
        <v>619217842979</v>
      </c>
      <c r="D185" s="2">
        <v>30.57</v>
      </c>
      <c r="E185" s="41" t="s">
        <v>419</v>
      </c>
    </row>
    <row r="186" spans="1:5" x14ac:dyDescent="0.25">
      <c r="A186" s="2" t="s">
        <v>1055</v>
      </c>
      <c r="B186" s="2" t="s">
        <v>639</v>
      </c>
      <c r="C186" s="5" t="str">
        <f>"619217842978"</f>
        <v>619217842978</v>
      </c>
      <c r="D186" s="2">
        <v>30.43</v>
      </c>
      <c r="E186" s="41" t="s">
        <v>419</v>
      </c>
    </row>
    <row r="187" spans="1:5" x14ac:dyDescent="0.25">
      <c r="A187" s="2" t="s">
        <v>1055</v>
      </c>
      <c r="B187" s="2" t="s">
        <v>639</v>
      </c>
      <c r="C187" s="5" t="str">
        <f>"619217842991"</f>
        <v>619217842991</v>
      </c>
      <c r="D187" s="2">
        <v>30.29</v>
      </c>
      <c r="E187" s="41" t="s">
        <v>419</v>
      </c>
    </row>
    <row r="188" spans="1:5" x14ac:dyDescent="0.25">
      <c r="A188" s="2" t="s">
        <v>1055</v>
      </c>
      <c r="B188" s="2" t="s">
        <v>639</v>
      </c>
      <c r="C188" s="5" t="str">
        <f>"619217842993"</f>
        <v>619217842993</v>
      </c>
      <c r="D188" s="2">
        <v>29.86</v>
      </c>
      <c r="E188" s="41" t="s">
        <v>419</v>
      </c>
    </row>
    <row r="189" spans="1:5" x14ac:dyDescent="0.25">
      <c r="A189" s="2" t="s">
        <v>1055</v>
      </c>
      <c r="B189" s="2" t="s">
        <v>639</v>
      </c>
      <c r="C189" s="5" t="str">
        <f>"619217843000"</f>
        <v>619217843000</v>
      </c>
      <c r="D189" s="2">
        <v>29</v>
      </c>
      <c r="E189" s="41" t="s">
        <v>419</v>
      </c>
    </row>
    <row r="190" spans="1:5" x14ac:dyDescent="0.25">
      <c r="A190" s="2" t="s">
        <v>1055</v>
      </c>
      <c r="B190" s="2" t="s">
        <v>639</v>
      </c>
      <c r="C190" s="5" t="str">
        <f>"619217823012"</f>
        <v>619217823012</v>
      </c>
      <c r="D190" s="2">
        <v>36.86</v>
      </c>
      <c r="E190" s="41" t="s">
        <v>419</v>
      </c>
    </row>
    <row r="191" spans="1:5" x14ac:dyDescent="0.25">
      <c r="A191" s="2" t="s">
        <v>1055</v>
      </c>
      <c r="B191" s="2" t="s">
        <v>639</v>
      </c>
      <c r="C191" s="5" t="str">
        <f>"619217822981"</f>
        <v>619217822981</v>
      </c>
      <c r="D191" s="2">
        <v>35.86</v>
      </c>
      <c r="E191" s="41" t="s">
        <v>419</v>
      </c>
    </row>
    <row r="192" spans="1:5" x14ac:dyDescent="0.25">
      <c r="A192" s="2" t="s">
        <v>1055</v>
      </c>
      <c r="B192" s="2" t="s">
        <v>639</v>
      </c>
      <c r="C192" s="5" t="str">
        <f>"619217822964"</f>
        <v>619217822964</v>
      </c>
      <c r="D192" s="2">
        <v>30.43</v>
      </c>
      <c r="E192" s="41" t="s">
        <v>419</v>
      </c>
    </row>
    <row r="193" spans="1:5" x14ac:dyDescent="0.25">
      <c r="A193" s="2" t="s">
        <v>1055</v>
      </c>
      <c r="B193" s="2" t="s">
        <v>639</v>
      </c>
      <c r="C193" s="5" t="str">
        <f>"619217842969"</f>
        <v>619217842969</v>
      </c>
      <c r="D193" s="2">
        <v>39</v>
      </c>
      <c r="E193" s="41" t="s">
        <v>419</v>
      </c>
    </row>
    <row r="194" spans="1:5" x14ac:dyDescent="0.25">
      <c r="A194" s="2" t="s">
        <v>1055</v>
      </c>
      <c r="B194" s="2" t="s">
        <v>639</v>
      </c>
      <c r="C194" s="5" t="str">
        <f>"619217843003"</f>
        <v>619217843003</v>
      </c>
      <c r="D194" s="2">
        <v>36.29</v>
      </c>
      <c r="E194" s="41" t="s">
        <v>419</v>
      </c>
    </row>
    <row r="195" spans="1:5" x14ac:dyDescent="0.25">
      <c r="A195" s="2" t="s">
        <v>1055</v>
      </c>
      <c r="B195" s="2" t="s">
        <v>639</v>
      </c>
      <c r="C195" s="5" t="str">
        <f>"619217842973"</f>
        <v>619217842973</v>
      </c>
      <c r="D195" s="2">
        <v>35</v>
      </c>
      <c r="E195" s="41" t="s">
        <v>419</v>
      </c>
    </row>
    <row r="196" spans="1:5" x14ac:dyDescent="0.25">
      <c r="A196" s="2" t="s">
        <v>1055</v>
      </c>
      <c r="B196" s="2" t="s">
        <v>639</v>
      </c>
      <c r="C196" s="5" t="str">
        <f>"619217842994"</f>
        <v>619217842994</v>
      </c>
      <c r="D196" s="2">
        <v>34.57</v>
      </c>
      <c r="E196" s="41" t="s">
        <v>419</v>
      </c>
    </row>
    <row r="197" spans="1:5" x14ac:dyDescent="0.25">
      <c r="A197" s="2" t="s">
        <v>1055</v>
      </c>
      <c r="B197" s="2" t="s">
        <v>639</v>
      </c>
      <c r="C197" s="5" t="str">
        <f>"619217842997"</f>
        <v>619217842997</v>
      </c>
      <c r="D197" s="2">
        <v>34.29</v>
      </c>
      <c r="E197" s="41" t="s">
        <v>419</v>
      </c>
    </row>
    <row r="198" spans="1:5" x14ac:dyDescent="0.25">
      <c r="A198" s="2" t="s">
        <v>1055</v>
      </c>
      <c r="B198" s="2" t="s">
        <v>639</v>
      </c>
      <c r="C198" s="5" t="str">
        <f>"619217843005"</f>
        <v>619217843005</v>
      </c>
      <c r="D198" s="2">
        <v>34</v>
      </c>
      <c r="E198" s="41" t="s">
        <v>419</v>
      </c>
    </row>
    <row r="199" spans="1:5" x14ac:dyDescent="0.25">
      <c r="A199" s="2" t="s">
        <v>1055</v>
      </c>
      <c r="B199" s="2" t="s">
        <v>639</v>
      </c>
      <c r="C199" s="5" t="str">
        <f>"619217843010"</f>
        <v>619217843010</v>
      </c>
      <c r="D199" s="2">
        <v>32.29</v>
      </c>
      <c r="E199" s="66" t="s">
        <v>420</v>
      </c>
    </row>
    <row r="200" spans="1:5" x14ac:dyDescent="0.25">
      <c r="A200" s="2" t="s">
        <v>1055</v>
      </c>
      <c r="B200" s="2" t="s">
        <v>639</v>
      </c>
      <c r="C200" s="5" t="str">
        <f>"619217843007"</f>
        <v>619217843007</v>
      </c>
      <c r="D200" s="2">
        <v>31.14</v>
      </c>
      <c r="E200" s="66" t="s">
        <v>420</v>
      </c>
    </row>
    <row r="201" spans="1:5" x14ac:dyDescent="0.25">
      <c r="A201" s="2" t="s">
        <v>1055</v>
      </c>
      <c r="B201" s="2" t="s">
        <v>639</v>
      </c>
      <c r="C201" s="5" t="str">
        <f>"619217843006"</f>
        <v>619217843006</v>
      </c>
      <c r="D201" s="2">
        <v>29.86</v>
      </c>
      <c r="E201" s="66" t="s">
        <v>420</v>
      </c>
    </row>
    <row r="202" spans="1:5" x14ac:dyDescent="0.25">
      <c r="A202" s="2" t="s">
        <v>1055</v>
      </c>
      <c r="B202" s="2" t="s">
        <v>639</v>
      </c>
      <c r="C202" s="5" t="str">
        <f>"619217843001"</f>
        <v>619217843001</v>
      </c>
      <c r="D202" s="2">
        <v>23</v>
      </c>
      <c r="E202" s="66" t="s">
        <v>420</v>
      </c>
    </row>
    <row r="203" spans="1:5" x14ac:dyDescent="0.25">
      <c r="A203" s="2" t="s">
        <v>1055</v>
      </c>
      <c r="B203" s="2" t="s">
        <v>639</v>
      </c>
      <c r="C203" s="5" t="str">
        <f>"619217842998"</f>
        <v>619217842998</v>
      </c>
      <c r="D203" s="2">
        <v>28.57</v>
      </c>
      <c r="E203" s="66" t="s">
        <v>420</v>
      </c>
    </row>
    <row r="204" spans="1:5" x14ac:dyDescent="0.25">
      <c r="A204" s="2" t="s">
        <v>1055</v>
      </c>
      <c r="B204" s="2" t="s">
        <v>639</v>
      </c>
      <c r="C204" s="5" t="str">
        <f>"619217842996"</f>
        <v>619217842996</v>
      </c>
      <c r="D204" s="2">
        <v>28.86</v>
      </c>
      <c r="E204" s="66" t="s">
        <v>420</v>
      </c>
    </row>
    <row r="205" spans="1:5" x14ac:dyDescent="0.25">
      <c r="A205" s="2" t="s">
        <v>1055</v>
      </c>
      <c r="B205" s="2" t="s">
        <v>639</v>
      </c>
      <c r="C205" s="5" t="str">
        <f>"619217842995"</f>
        <v>619217842995</v>
      </c>
      <c r="D205" s="2">
        <v>24.71</v>
      </c>
      <c r="E205" s="66" t="s">
        <v>420</v>
      </c>
    </row>
    <row r="206" spans="1:5" x14ac:dyDescent="0.25">
      <c r="A206" s="2" t="s">
        <v>1055</v>
      </c>
      <c r="B206" s="2" t="s">
        <v>639</v>
      </c>
      <c r="C206" s="5" t="str">
        <f>"619217842989"</f>
        <v>619217842989</v>
      </c>
      <c r="D206" s="2">
        <v>27.71</v>
      </c>
      <c r="E206" s="66" t="s">
        <v>420</v>
      </c>
    </row>
    <row r="207" spans="1:5" x14ac:dyDescent="0.25">
      <c r="A207" s="2" t="s">
        <v>1055</v>
      </c>
      <c r="B207" s="2" t="s">
        <v>639</v>
      </c>
      <c r="C207" s="5" t="str">
        <f>"619217842987"</f>
        <v>619217842987</v>
      </c>
      <c r="D207" s="2">
        <v>31</v>
      </c>
      <c r="E207" s="66" t="s">
        <v>420</v>
      </c>
    </row>
    <row r="208" spans="1:5" x14ac:dyDescent="0.25">
      <c r="A208" s="2" t="s">
        <v>1055</v>
      </c>
      <c r="B208" s="2" t="s">
        <v>639</v>
      </c>
      <c r="C208" s="5" t="str">
        <f>"619217372985"</f>
        <v>619217372985</v>
      </c>
      <c r="D208" s="2">
        <v>29.71</v>
      </c>
      <c r="E208" s="66" t="s">
        <v>420</v>
      </c>
    </row>
    <row r="209" spans="1:5" x14ac:dyDescent="0.25">
      <c r="A209" s="2" t="s">
        <v>1055</v>
      </c>
      <c r="B209" s="2" t="s">
        <v>639</v>
      </c>
      <c r="C209" s="5" t="str">
        <f>"619217842983"</f>
        <v>619217842983</v>
      </c>
      <c r="D209" s="2">
        <v>31</v>
      </c>
      <c r="E209" s="66" t="s">
        <v>420</v>
      </c>
    </row>
    <row r="210" spans="1:5" x14ac:dyDescent="0.25">
      <c r="A210" s="2" t="s">
        <v>1055</v>
      </c>
      <c r="B210" s="2" t="s">
        <v>639</v>
      </c>
      <c r="C210" s="5" t="str">
        <f>"619217842982"</f>
        <v>619217842982</v>
      </c>
      <c r="D210" s="2">
        <v>28.57</v>
      </c>
      <c r="E210" s="66" t="s">
        <v>420</v>
      </c>
    </row>
    <row r="211" spans="1:5" x14ac:dyDescent="0.25">
      <c r="A211" s="2" t="s">
        <v>1055</v>
      </c>
      <c r="B211" s="2" t="s">
        <v>639</v>
      </c>
      <c r="C211" s="5" t="str">
        <f>"619217842980"</f>
        <v>619217842980</v>
      </c>
      <c r="D211" s="2">
        <v>30.71</v>
      </c>
      <c r="E211" s="66" t="s">
        <v>420</v>
      </c>
    </row>
    <row r="212" spans="1:5" x14ac:dyDescent="0.25">
      <c r="A212" s="2" t="s">
        <v>1055</v>
      </c>
      <c r="B212" s="2" t="s">
        <v>639</v>
      </c>
      <c r="C212" s="5" t="str">
        <f>"619217842975"</f>
        <v>619217842975</v>
      </c>
      <c r="D212" s="2">
        <v>27.86</v>
      </c>
      <c r="E212" s="66" t="s">
        <v>420</v>
      </c>
    </row>
    <row r="213" spans="1:5" x14ac:dyDescent="0.25">
      <c r="A213" s="2" t="s">
        <v>1055</v>
      </c>
      <c r="B213" s="2" t="s">
        <v>639</v>
      </c>
      <c r="C213" s="5" t="str">
        <f>"619217842972"</f>
        <v>619217842972</v>
      </c>
      <c r="D213" s="2">
        <v>30.57</v>
      </c>
      <c r="E213" s="66" t="s">
        <v>420</v>
      </c>
    </row>
    <row r="214" spans="1:5" x14ac:dyDescent="0.25">
      <c r="A214" s="2" t="s">
        <v>1055</v>
      </c>
      <c r="B214" s="2" t="s">
        <v>639</v>
      </c>
      <c r="C214" s="5" t="str">
        <f>"619217842970"</f>
        <v>619217842970</v>
      </c>
      <c r="D214" s="2">
        <v>28</v>
      </c>
      <c r="E214" s="66" t="s">
        <v>420</v>
      </c>
    </row>
    <row r="215" spans="1:5" x14ac:dyDescent="0.25">
      <c r="A215" s="2" t="s">
        <v>1055</v>
      </c>
      <c r="B215" s="2" t="s">
        <v>639</v>
      </c>
      <c r="C215" s="313" t="str">
        <f>"619217822966"</f>
        <v>619217822966</v>
      </c>
      <c r="D215" s="2">
        <v>19.86</v>
      </c>
      <c r="E215" s="66" t="s">
        <v>420</v>
      </c>
    </row>
    <row r="216" spans="1:5" x14ac:dyDescent="0.25">
      <c r="A216" s="26" t="s">
        <v>1151</v>
      </c>
      <c r="B216" s="26" t="s">
        <v>639</v>
      </c>
      <c r="C216" s="636">
        <v>19201800971</v>
      </c>
      <c r="D216" s="637">
        <v>21.18</v>
      </c>
      <c r="E216" s="379" t="s">
        <v>419</v>
      </c>
    </row>
    <row r="217" spans="1:5" x14ac:dyDescent="0.25">
      <c r="A217" s="26" t="s">
        <v>1151</v>
      </c>
      <c r="B217" s="26" t="s">
        <v>639</v>
      </c>
      <c r="C217" s="636">
        <v>19201800997</v>
      </c>
      <c r="D217" s="637">
        <v>20.329999999999998</v>
      </c>
      <c r="E217" s="379" t="s">
        <v>419</v>
      </c>
    </row>
    <row r="218" spans="1:5" x14ac:dyDescent="0.25">
      <c r="A218" s="26" t="s">
        <v>1151</v>
      </c>
      <c r="B218" s="26" t="s">
        <v>639</v>
      </c>
      <c r="C218" s="636">
        <v>19201800976</v>
      </c>
      <c r="D218" s="637">
        <v>19.61</v>
      </c>
      <c r="E218" s="379" t="s">
        <v>419</v>
      </c>
    </row>
    <row r="219" spans="1:5" x14ac:dyDescent="0.25">
      <c r="A219" s="26" t="s">
        <v>1151</v>
      </c>
      <c r="B219" s="26" t="s">
        <v>639</v>
      </c>
      <c r="C219" s="636">
        <v>19201800979</v>
      </c>
      <c r="D219" s="637">
        <v>18.62</v>
      </c>
      <c r="E219" s="379" t="s">
        <v>419</v>
      </c>
    </row>
    <row r="220" spans="1:5" x14ac:dyDescent="0.25">
      <c r="A220" s="26" t="s">
        <v>1151</v>
      </c>
      <c r="B220" s="26" t="s">
        <v>639</v>
      </c>
      <c r="C220" s="636">
        <v>19201800970</v>
      </c>
      <c r="D220" s="637">
        <v>18.47</v>
      </c>
      <c r="E220" s="379" t="s">
        <v>419</v>
      </c>
    </row>
    <row r="221" spans="1:5" x14ac:dyDescent="0.25">
      <c r="A221" s="26" t="s">
        <v>1151</v>
      </c>
      <c r="B221" s="26" t="s">
        <v>639</v>
      </c>
      <c r="C221" s="636">
        <v>19201800975</v>
      </c>
      <c r="D221" s="637">
        <v>18.04</v>
      </c>
      <c r="E221" s="379" t="s">
        <v>419</v>
      </c>
    </row>
    <row r="222" spans="1:5" x14ac:dyDescent="0.25">
      <c r="A222" s="26" t="s">
        <v>1151</v>
      </c>
      <c r="B222" s="26" t="s">
        <v>639</v>
      </c>
      <c r="C222" s="636">
        <v>19201800968</v>
      </c>
      <c r="D222" s="637">
        <v>17.899999999999999</v>
      </c>
      <c r="E222" s="379" t="s">
        <v>419</v>
      </c>
    </row>
    <row r="223" spans="1:5" x14ac:dyDescent="0.25">
      <c r="A223" s="26" t="s">
        <v>1151</v>
      </c>
      <c r="B223" s="26" t="s">
        <v>639</v>
      </c>
      <c r="C223" s="636">
        <v>19201800980</v>
      </c>
      <c r="D223" s="637">
        <v>17.329999999999998</v>
      </c>
      <c r="E223" s="379" t="s">
        <v>419</v>
      </c>
    </row>
    <row r="224" spans="1:5" x14ac:dyDescent="0.25">
      <c r="A224" s="26" t="s">
        <v>1151</v>
      </c>
      <c r="B224" s="26" t="s">
        <v>639</v>
      </c>
      <c r="C224" s="636">
        <v>19201800966</v>
      </c>
      <c r="D224" s="637">
        <v>17.18</v>
      </c>
      <c r="E224" s="379" t="s">
        <v>419</v>
      </c>
    </row>
    <row r="225" spans="1:5" x14ac:dyDescent="0.25">
      <c r="A225" s="26" t="s">
        <v>1151</v>
      </c>
      <c r="B225" s="26" t="s">
        <v>639</v>
      </c>
      <c r="C225" s="636">
        <v>19201800977</v>
      </c>
      <c r="D225" s="637">
        <v>17.04</v>
      </c>
      <c r="E225" s="379" t="s">
        <v>419</v>
      </c>
    </row>
    <row r="226" spans="1:5" x14ac:dyDescent="0.25">
      <c r="A226" s="26" t="s">
        <v>1151</v>
      </c>
      <c r="B226" s="26" t="s">
        <v>639</v>
      </c>
      <c r="C226" s="636">
        <v>19201800972</v>
      </c>
      <c r="D226" s="637">
        <v>15.04</v>
      </c>
      <c r="E226" s="379" t="s">
        <v>419</v>
      </c>
    </row>
    <row r="227" spans="1:5" x14ac:dyDescent="0.25">
      <c r="A227" s="26" t="s">
        <v>1151</v>
      </c>
      <c r="B227" s="26" t="s">
        <v>639</v>
      </c>
      <c r="C227" s="636">
        <v>19201800973</v>
      </c>
      <c r="D227" s="637">
        <v>14.61</v>
      </c>
      <c r="E227" s="226" t="s">
        <v>420</v>
      </c>
    </row>
    <row r="228" spans="1:5" x14ac:dyDescent="0.25">
      <c r="A228" s="26" t="s">
        <v>1151</v>
      </c>
      <c r="B228" s="26" t="s">
        <v>639</v>
      </c>
      <c r="C228" s="636">
        <v>19201800993</v>
      </c>
      <c r="D228" s="637">
        <v>14.47</v>
      </c>
      <c r="E228" s="226" t="s">
        <v>420</v>
      </c>
    </row>
    <row r="229" spans="1:5" x14ac:dyDescent="0.25">
      <c r="A229" s="26" t="s">
        <v>1151</v>
      </c>
      <c r="B229" s="26" t="s">
        <v>639</v>
      </c>
      <c r="C229" s="636">
        <v>19201800982</v>
      </c>
      <c r="D229" s="637">
        <v>14.17</v>
      </c>
      <c r="E229" s="226" t="s">
        <v>420</v>
      </c>
    </row>
    <row r="230" spans="1:5" x14ac:dyDescent="0.25">
      <c r="A230" s="26" t="s">
        <v>1151</v>
      </c>
      <c r="B230" s="26" t="s">
        <v>639</v>
      </c>
      <c r="C230" s="636">
        <v>19201800995</v>
      </c>
      <c r="D230" s="637">
        <v>13.61</v>
      </c>
      <c r="E230" s="226" t="s">
        <v>420</v>
      </c>
    </row>
    <row r="231" spans="1:5" x14ac:dyDescent="0.25">
      <c r="A231" s="26" t="s">
        <v>1151</v>
      </c>
      <c r="B231" s="26" t="s">
        <v>639</v>
      </c>
      <c r="C231" s="636">
        <v>19201800981</v>
      </c>
      <c r="D231" s="637">
        <v>12.88</v>
      </c>
      <c r="E231" s="226" t="s">
        <v>420</v>
      </c>
    </row>
    <row r="232" spans="1:5" x14ac:dyDescent="0.25">
      <c r="A232" s="26" t="s">
        <v>1151</v>
      </c>
      <c r="B232" s="26" t="s">
        <v>639</v>
      </c>
      <c r="C232" s="636">
        <v>19201800978</v>
      </c>
      <c r="D232" s="637">
        <v>11.61</v>
      </c>
      <c r="E232" s="226" t="s">
        <v>420</v>
      </c>
    </row>
    <row r="233" spans="1:5" x14ac:dyDescent="0.25">
      <c r="A233" s="646" t="s">
        <v>1166</v>
      </c>
      <c r="B233" s="2" t="s">
        <v>1165</v>
      </c>
      <c r="C233" s="2">
        <v>19201801169</v>
      </c>
      <c r="D233" s="2">
        <v>16.14</v>
      </c>
      <c r="E233" s="379" t="s">
        <v>419</v>
      </c>
    </row>
    <row r="234" spans="1:5" x14ac:dyDescent="0.25">
      <c r="A234" s="26" t="s">
        <v>1166</v>
      </c>
      <c r="B234" s="2" t="s">
        <v>1165</v>
      </c>
      <c r="C234" s="2">
        <v>19201801124</v>
      </c>
      <c r="D234" s="2">
        <v>15.51</v>
      </c>
      <c r="E234" s="379" t="s">
        <v>419</v>
      </c>
    </row>
    <row r="235" spans="1:5" x14ac:dyDescent="0.25">
      <c r="A235" s="26" t="s">
        <v>1166</v>
      </c>
      <c r="B235" s="2" t="s">
        <v>1165</v>
      </c>
      <c r="C235" s="2">
        <v>19201801136</v>
      </c>
      <c r="D235" s="2">
        <v>14.77</v>
      </c>
      <c r="E235" s="379" t="s">
        <v>419</v>
      </c>
    </row>
    <row r="236" spans="1:5" x14ac:dyDescent="0.25">
      <c r="A236" s="26" t="s">
        <v>1166</v>
      </c>
      <c r="B236" s="2" t="s">
        <v>1165</v>
      </c>
      <c r="C236" s="2">
        <v>19201801172</v>
      </c>
      <c r="D236" s="2">
        <v>14.76</v>
      </c>
      <c r="E236" s="379" t="s">
        <v>419</v>
      </c>
    </row>
    <row r="237" spans="1:5" x14ac:dyDescent="0.25">
      <c r="A237" s="26" t="s">
        <v>1166</v>
      </c>
      <c r="B237" s="2" t="s">
        <v>1165</v>
      </c>
      <c r="C237" s="2">
        <v>19201801130</v>
      </c>
      <c r="D237" s="2">
        <v>14.39</v>
      </c>
      <c r="E237" s="379" t="s">
        <v>419</v>
      </c>
    </row>
    <row r="238" spans="1:5" x14ac:dyDescent="0.25">
      <c r="A238" s="26" t="s">
        <v>1166</v>
      </c>
      <c r="B238" s="2" t="s">
        <v>1165</v>
      </c>
      <c r="C238" s="2">
        <v>19201801128</v>
      </c>
      <c r="D238" s="2">
        <v>14.27</v>
      </c>
      <c r="E238" s="379" t="s">
        <v>419</v>
      </c>
    </row>
    <row r="239" spans="1:5" x14ac:dyDescent="0.25">
      <c r="A239" s="26" t="s">
        <v>1166</v>
      </c>
      <c r="B239" s="2" t="s">
        <v>1165</v>
      </c>
      <c r="C239" s="2">
        <v>19201801171</v>
      </c>
      <c r="D239" s="2">
        <v>14.13</v>
      </c>
      <c r="E239" s="379" t="s">
        <v>419</v>
      </c>
    </row>
    <row r="240" spans="1:5" x14ac:dyDescent="0.25">
      <c r="A240" s="26" t="s">
        <v>1166</v>
      </c>
      <c r="B240" s="2" t="s">
        <v>1165</v>
      </c>
      <c r="C240" s="2">
        <v>19201801173</v>
      </c>
      <c r="D240" s="2">
        <v>13.89</v>
      </c>
      <c r="E240" s="226" t="s">
        <v>420</v>
      </c>
    </row>
    <row r="241" spans="1:5" x14ac:dyDescent="0.25">
      <c r="A241" s="26" t="s">
        <v>1166</v>
      </c>
      <c r="B241" s="2" t="s">
        <v>1165</v>
      </c>
      <c r="C241" s="2">
        <v>19201801170</v>
      </c>
      <c r="D241" s="2">
        <v>13.14</v>
      </c>
      <c r="E241" s="226" t="s">
        <v>420</v>
      </c>
    </row>
    <row r="242" spans="1:5" x14ac:dyDescent="0.25">
      <c r="A242" s="26" t="s">
        <v>1167</v>
      </c>
      <c r="B242" s="26" t="s">
        <v>465</v>
      </c>
      <c r="C242" s="2">
        <v>19201801202</v>
      </c>
      <c r="D242" s="2">
        <v>21.03</v>
      </c>
      <c r="E242" s="379" t="s">
        <v>419</v>
      </c>
    </row>
    <row r="243" spans="1:5" x14ac:dyDescent="0.25">
      <c r="A243" s="2" t="s">
        <v>1167</v>
      </c>
      <c r="B243" s="26" t="s">
        <v>465</v>
      </c>
      <c r="C243" s="2">
        <v>19201801192</v>
      </c>
      <c r="D243" s="2">
        <v>20.9</v>
      </c>
      <c r="E243" s="379" t="s">
        <v>419</v>
      </c>
    </row>
    <row r="244" spans="1:5" x14ac:dyDescent="0.25">
      <c r="A244" s="2" t="s">
        <v>1167</v>
      </c>
      <c r="B244" s="26" t="s">
        <v>465</v>
      </c>
      <c r="C244" s="2">
        <v>19201801209</v>
      </c>
      <c r="D244" s="2">
        <v>20.73</v>
      </c>
      <c r="E244" s="379" t="s">
        <v>419</v>
      </c>
    </row>
    <row r="245" spans="1:5" x14ac:dyDescent="0.25">
      <c r="A245" s="2" t="s">
        <v>1167</v>
      </c>
      <c r="B245" s="26" t="s">
        <v>465</v>
      </c>
      <c r="C245" s="2">
        <v>19201801198</v>
      </c>
      <c r="D245" s="2">
        <v>19.45</v>
      </c>
      <c r="E245" s="379" t="s">
        <v>419</v>
      </c>
    </row>
    <row r="246" spans="1:5" x14ac:dyDescent="0.25">
      <c r="A246" s="2" t="s">
        <v>1167</v>
      </c>
      <c r="B246" s="26" t="s">
        <v>465</v>
      </c>
      <c r="C246" s="2">
        <v>19201801204</v>
      </c>
      <c r="D246" s="2">
        <v>19.309999999999999</v>
      </c>
      <c r="E246" s="379" t="s">
        <v>419</v>
      </c>
    </row>
    <row r="247" spans="1:5" x14ac:dyDescent="0.25">
      <c r="A247" s="2" t="s">
        <v>1167</v>
      </c>
      <c r="B247" s="26" t="s">
        <v>465</v>
      </c>
      <c r="C247" s="2">
        <v>19201801193</v>
      </c>
      <c r="D247" s="2">
        <v>19.170000000000002</v>
      </c>
      <c r="E247" s="379" t="s">
        <v>419</v>
      </c>
    </row>
    <row r="248" spans="1:5" x14ac:dyDescent="0.25">
      <c r="A248" s="2" t="s">
        <v>1167</v>
      </c>
      <c r="B248" s="26" t="s">
        <v>465</v>
      </c>
      <c r="C248" s="2">
        <v>19201801190</v>
      </c>
      <c r="D248" s="2">
        <v>18.89</v>
      </c>
      <c r="E248" s="379" t="s">
        <v>419</v>
      </c>
    </row>
    <row r="249" spans="1:5" x14ac:dyDescent="0.25">
      <c r="A249" s="2" t="s">
        <v>1167</v>
      </c>
      <c r="B249" s="26" t="s">
        <v>465</v>
      </c>
      <c r="C249" s="2">
        <v>19201801191</v>
      </c>
      <c r="D249" s="2">
        <v>18.600000000000001</v>
      </c>
      <c r="E249" s="379" t="s">
        <v>419</v>
      </c>
    </row>
    <row r="250" spans="1:5" x14ac:dyDescent="0.25">
      <c r="A250" s="2" t="s">
        <v>1167</v>
      </c>
      <c r="B250" s="26" t="s">
        <v>465</v>
      </c>
      <c r="C250" s="2">
        <v>19201801210</v>
      </c>
      <c r="D250" s="2">
        <v>17.18</v>
      </c>
      <c r="E250" s="379" t="s">
        <v>419</v>
      </c>
    </row>
    <row r="251" spans="1:5" x14ac:dyDescent="0.25">
      <c r="A251" s="26" t="s">
        <v>1167</v>
      </c>
      <c r="B251" s="26" t="s">
        <v>465</v>
      </c>
      <c r="C251" s="2">
        <v>19201801197</v>
      </c>
      <c r="D251" s="2">
        <v>16.739999999999998</v>
      </c>
      <c r="E251" s="379" t="s">
        <v>419</v>
      </c>
    </row>
    <row r="252" spans="1:5" x14ac:dyDescent="0.25">
      <c r="A252" s="2" t="s">
        <v>1167</v>
      </c>
      <c r="B252" s="26" t="s">
        <v>465</v>
      </c>
      <c r="C252" s="2">
        <v>19201801208</v>
      </c>
      <c r="D252" s="2">
        <v>15.74</v>
      </c>
      <c r="E252" s="379" t="s">
        <v>419</v>
      </c>
    </row>
    <row r="253" spans="1:5" x14ac:dyDescent="0.25">
      <c r="A253" s="2" t="s">
        <v>1167</v>
      </c>
      <c r="B253" s="26" t="s">
        <v>465</v>
      </c>
      <c r="C253" s="2">
        <v>19201801189</v>
      </c>
      <c r="D253" s="2">
        <v>15.62</v>
      </c>
      <c r="E253" s="226" t="s">
        <v>420</v>
      </c>
    </row>
    <row r="254" spans="1:5" x14ac:dyDescent="0.25">
      <c r="A254" s="2" t="s">
        <v>1167</v>
      </c>
      <c r="B254" s="26" t="s">
        <v>465</v>
      </c>
      <c r="C254" s="2">
        <v>19201801195</v>
      </c>
      <c r="D254" s="2">
        <v>15.61</v>
      </c>
      <c r="E254" s="226" t="s">
        <v>420</v>
      </c>
    </row>
    <row r="255" spans="1:5" x14ac:dyDescent="0.25">
      <c r="A255" s="2" t="s">
        <v>1167</v>
      </c>
      <c r="B255" s="26" t="s">
        <v>465</v>
      </c>
      <c r="C255" s="2">
        <v>19201801206</v>
      </c>
      <c r="D255" s="2">
        <v>14.17</v>
      </c>
      <c r="E255" s="226" t="s">
        <v>420</v>
      </c>
    </row>
    <row r="256" spans="1:5" x14ac:dyDescent="0.25">
      <c r="A256" s="2" t="s">
        <v>1167</v>
      </c>
      <c r="B256" s="26" t="s">
        <v>465</v>
      </c>
      <c r="C256" s="2">
        <v>19201801201</v>
      </c>
      <c r="D256" s="2">
        <v>13.75</v>
      </c>
      <c r="E256" s="226" t="s">
        <v>420</v>
      </c>
    </row>
    <row r="257" spans="1:7" x14ac:dyDescent="0.25">
      <c r="A257" s="2" t="s">
        <v>1167</v>
      </c>
      <c r="B257" s="26" t="s">
        <v>465</v>
      </c>
      <c r="C257" s="2">
        <v>19201801203</v>
      </c>
      <c r="D257" s="2">
        <v>13.74</v>
      </c>
      <c r="E257" s="226" t="s">
        <v>420</v>
      </c>
    </row>
    <row r="258" spans="1:7" x14ac:dyDescent="0.25">
      <c r="A258" s="2" t="s">
        <v>1167</v>
      </c>
      <c r="B258" s="26" t="s">
        <v>465</v>
      </c>
      <c r="C258" s="2">
        <v>19201801205</v>
      </c>
      <c r="D258" s="2">
        <v>13.31</v>
      </c>
      <c r="E258" s="226" t="s">
        <v>420</v>
      </c>
    </row>
    <row r="259" spans="1:7" x14ac:dyDescent="0.25">
      <c r="A259" s="2" t="s">
        <v>1167</v>
      </c>
      <c r="B259" s="26" t="s">
        <v>465</v>
      </c>
      <c r="C259" s="2">
        <v>19201801196</v>
      </c>
      <c r="D259" s="2">
        <v>12.6</v>
      </c>
      <c r="E259" s="226" t="s">
        <v>420</v>
      </c>
    </row>
    <row r="260" spans="1:7" x14ac:dyDescent="0.25">
      <c r="A260" s="2" t="s">
        <v>1167</v>
      </c>
      <c r="B260" s="26" t="s">
        <v>465</v>
      </c>
      <c r="C260" s="2">
        <v>19201801194</v>
      </c>
      <c r="D260" s="2">
        <v>11.31</v>
      </c>
      <c r="E260" s="226" t="s">
        <v>420</v>
      </c>
    </row>
    <row r="261" spans="1:7" x14ac:dyDescent="0.25">
      <c r="A261" s="2" t="s">
        <v>1167</v>
      </c>
      <c r="B261" s="26" t="s">
        <v>465</v>
      </c>
      <c r="C261" s="2">
        <v>19201801200</v>
      </c>
      <c r="D261" s="2">
        <v>17.03</v>
      </c>
      <c r="E261" s="226" t="s">
        <v>420</v>
      </c>
    </row>
    <row r="262" spans="1:7" x14ac:dyDescent="0.25">
      <c r="A262" s="2" t="s">
        <v>1167</v>
      </c>
      <c r="B262" s="26" t="s">
        <v>465</v>
      </c>
      <c r="C262" s="2">
        <v>19201801179</v>
      </c>
      <c r="D262" s="2">
        <v>16.16</v>
      </c>
      <c r="E262" s="226" t="s">
        <v>420</v>
      </c>
    </row>
    <row r="263" spans="1:7" x14ac:dyDescent="0.25">
      <c r="A263" s="2" t="s">
        <v>1167</v>
      </c>
      <c r="B263" s="26" t="s">
        <v>465</v>
      </c>
      <c r="C263" s="2">
        <v>19201801185</v>
      </c>
      <c r="D263" s="2">
        <v>17.89</v>
      </c>
      <c r="E263" s="226" t="s">
        <v>420</v>
      </c>
    </row>
    <row r="264" spans="1:7" x14ac:dyDescent="0.25">
      <c r="A264" s="2" t="s">
        <v>1167</v>
      </c>
      <c r="B264" s="26" t="s">
        <v>465</v>
      </c>
      <c r="C264" s="2">
        <v>19201801199</v>
      </c>
      <c r="D264" s="2">
        <v>17.61</v>
      </c>
      <c r="E264" s="226" t="s">
        <v>420</v>
      </c>
    </row>
    <row r="265" spans="1:7" x14ac:dyDescent="0.25">
      <c r="A265" s="26" t="s">
        <v>1236</v>
      </c>
      <c r="B265" s="26" t="s">
        <v>639</v>
      </c>
      <c r="C265" s="2">
        <v>19202000061</v>
      </c>
      <c r="D265" s="2">
        <v>23.25</v>
      </c>
      <c r="E265" s="379" t="s">
        <v>419</v>
      </c>
      <c r="F265" s="647"/>
      <c r="G265" s="647"/>
    </row>
    <row r="266" spans="1:7" x14ac:dyDescent="0.25">
      <c r="A266" s="26" t="s">
        <v>1236</v>
      </c>
      <c r="B266" s="26" t="s">
        <v>639</v>
      </c>
      <c r="C266" s="2">
        <v>19202000055</v>
      </c>
      <c r="D266" s="2">
        <v>22.76</v>
      </c>
      <c r="E266" s="379" t="s">
        <v>419</v>
      </c>
      <c r="F266" s="647"/>
      <c r="G266" s="647"/>
    </row>
    <row r="267" spans="1:7" x14ac:dyDescent="0.25">
      <c r="A267" s="26" t="s">
        <v>1236</v>
      </c>
      <c r="B267" s="26" t="s">
        <v>639</v>
      </c>
      <c r="C267" s="2">
        <v>19202000043</v>
      </c>
      <c r="D267" s="2">
        <v>22.25</v>
      </c>
      <c r="E267" s="379" t="s">
        <v>419</v>
      </c>
      <c r="F267" s="647"/>
      <c r="G267" s="647"/>
    </row>
    <row r="268" spans="1:7" x14ac:dyDescent="0.25">
      <c r="A268" s="26" t="s">
        <v>1236</v>
      </c>
      <c r="B268" s="26" t="s">
        <v>639</v>
      </c>
      <c r="C268" s="2">
        <v>19202000049</v>
      </c>
      <c r="D268" s="2">
        <v>22.13</v>
      </c>
      <c r="E268" s="379" t="s">
        <v>419</v>
      </c>
      <c r="F268" s="647"/>
      <c r="G268" s="647"/>
    </row>
    <row r="269" spans="1:7" x14ac:dyDescent="0.25">
      <c r="A269" s="26" t="s">
        <v>1236</v>
      </c>
      <c r="B269" s="26" t="s">
        <v>639</v>
      </c>
      <c r="C269" s="2">
        <v>19202000036</v>
      </c>
      <c r="D269" s="2">
        <v>21.13</v>
      </c>
      <c r="E269" s="379" t="s">
        <v>419</v>
      </c>
      <c r="F269" s="647"/>
      <c r="G269" s="647"/>
    </row>
    <row r="270" spans="1:7" x14ac:dyDescent="0.25">
      <c r="A270" s="26" t="s">
        <v>1236</v>
      </c>
      <c r="B270" s="26" t="s">
        <v>639</v>
      </c>
      <c r="C270" s="2">
        <v>19202000052</v>
      </c>
      <c r="D270" s="2">
        <v>21.13</v>
      </c>
      <c r="E270" s="379" t="s">
        <v>419</v>
      </c>
      <c r="F270" s="647"/>
      <c r="G270" s="647"/>
    </row>
    <row r="271" spans="1:7" x14ac:dyDescent="0.25">
      <c r="A271" s="26" t="s">
        <v>1236</v>
      </c>
      <c r="B271" s="26" t="s">
        <v>639</v>
      </c>
      <c r="C271" s="2">
        <v>19202000065</v>
      </c>
      <c r="D271" s="2">
        <v>21.01</v>
      </c>
      <c r="E271" s="379" t="s">
        <v>419</v>
      </c>
      <c r="F271" s="647"/>
      <c r="G271" s="647"/>
    </row>
    <row r="272" spans="1:7" x14ac:dyDescent="0.25">
      <c r="A272" s="26" t="s">
        <v>1236</v>
      </c>
      <c r="B272" s="26" t="s">
        <v>639</v>
      </c>
      <c r="C272" s="2">
        <v>19202000048</v>
      </c>
      <c r="D272" s="2">
        <v>21</v>
      </c>
      <c r="E272" s="379" t="s">
        <v>419</v>
      </c>
      <c r="F272" s="647"/>
      <c r="G272" s="647"/>
    </row>
    <row r="273" spans="1:7" x14ac:dyDescent="0.25">
      <c r="A273" s="26" t="s">
        <v>1236</v>
      </c>
      <c r="B273" s="26" t="s">
        <v>639</v>
      </c>
      <c r="C273" s="2">
        <v>19202000012</v>
      </c>
      <c r="D273" s="2">
        <v>20.63</v>
      </c>
      <c r="E273" s="379" t="s">
        <v>419</v>
      </c>
      <c r="F273" s="647"/>
      <c r="G273" s="647"/>
    </row>
    <row r="274" spans="1:7" x14ac:dyDescent="0.25">
      <c r="A274" s="26" t="s">
        <v>1236</v>
      </c>
      <c r="B274" s="26" t="s">
        <v>639</v>
      </c>
      <c r="C274" s="2">
        <v>19202000058</v>
      </c>
      <c r="D274" s="2">
        <v>20.51</v>
      </c>
      <c r="E274" s="379" t="s">
        <v>419</v>
      </c>
      <c r="F274" s="647"/>
      <c r="G274" s="647"/>
    </row>
    <row r="275" spans="1:7" x14ac:dyDescent="0.25">
      <c r="A275" s="26" t="s">
        <v>1236</v>
      </c>
      <c r="B275" s="26" t="s">
        <v>639</v>
      </c>
      <c r="C275" s="2">
        <v>19202000059</v>
      </c>
      <c r="D275" s="2">
        <v>20.5</v>
      </c>
      <c r="E275" s="379" t="s">
        <v>419</v>
      </c>
      <c r="F275" s="647"/>
      <c r="G275" s="647"/>
    </row>
    <row r="276" spans="1:7" x14ac:dyDescent="0.25">
      <c r="A276" s="26" t="s">
        <v>1236</v>
      </c>
      <c r="B276" s="26" t="s">
        <v>639</v>
      </c>
      <c r="C276" s="2">
        <v>19202000026</v>
      </c>
      <c r="D276" s="2">
        <v>20.260000000000002</v>
      </c>
      <c r="E276" s="379" t="s">
        <v>419</v>
      </c>
      <c r="F276" s="647"/>
      <c r="G276" s="647"/>
    </row>
    <row r="277" spans="1:7" x14ac:dyDescent="0.25">
      <c r="A277" s="26" t="s">
        <v>1236</v>
      </c>
      <c r="B277" s="26" t="s">
        <v>639</v>
      </c>
      <c r="C277" s="2">
        <v>19202000027</v>
      </c>
      <c r="D277" s="2">
        <v>20.010000000000002</v>
      </c>
      <c r="E277" s="379" t="s">
        <v>419</v>
      </c>
      <c r="F277" s="647"/>
      <c r="G277" s="647"/>
    </row>
    <row r="278" spans="1:7" x14ac:dyDescent="0.25">
      <c r="A278" s="26" t="s">
        <v>1236</v>
      </c>
      <c r="B278" s="26" t="s">
        <v>639</v>
      </c>
      <c r="C278" s="2">
        <v>19202000033</v>
      </c>
      <c r="D278" s="2">
        <v>19.89</v>
      </c>
      <c r="E278" s="379" t="s">
        <v>419</v>
      </c>
      <c r="F278" s="647"/>
      <c r="G278" s="647"/>
    </row>
    <row r="279" spans="1:7" x14ac:dyDescent="0.25">
      <c r="A279" s="26" t="s">
        <v>1236</v>
      </c>
      <c r="B279" s="26" t="s">
        <v>639</v>
      </c>
      <c r="C279" s="2">
        <v>19202000050</v>
      </c>
      <c r="D279" s="2">
        <v>19.760000000000002</v>
      </c>
      <c r="E279" s="379" t="s">
        <v>419</v>
      </c>
      <c r="F279" s="647"/>
      <c r="G279" s="647"/>
    </row>
    <row r="280" spans="1:7" x14ac:dyDescent="0.25">
      <c r="A280" s="26" t="s">
        <v>1236</v>
      </c>
      <c r="B280" s="26" t="s">
        <v>639</v>
      </c>
      <c r="C280" s="2">
        <v>19202000028</v>
      </c>
      <c r="D280" s="2">
        <v>19.39</v>
      </c>
      <c r="E280" s="379" t="s">
        <v>419</v>
      </c>
      <c r="F280" s="647"/>
      <c r="G280" s="647"/>
    </row>
    <row r="281" spans="1:7" x14ac:dyDescent="0.25">
      <c r="A281" s="26" t="s">
        <v>1236</v>
      </c>
      <c r="B281" s="26" t="s">
        <v>639</v>
      </c>
      <c r="C281" s="2">
        <v>19202000038</v>
      </c>
      <c r="D281" s="2">
        <v>18.63</v>
      </c>
      <c r="E281" s="226" t="s">
        <v>420</v>
      </c>
      <c r="F281" s="647"/>
      <c r="G281" s="647"/>
    </row>
    <row r="282" spans="1:7" x14ac:dyDescent="0.25">
      <c r="A282" s="26" t="s">
        <v>1236</v>
      </c>
      <c r="B282" s="26" t="s">
        <v>639</v>
      </c>
      <c r="C282" s="2">
        <v>19202000025</v>
      </c>
      <c r="D282" s="2">
        <v>18.010000000000002</v>
      </c>
      <c r="E282" s="379" t="s">
        <v>419</v>
      </c>
      <c r="F282" s="647"/>
      <c r="G282" s="647"/>
    </row>
    <row r="283" spans="1:7" x14ac:dyDescent="0.25">
      <c r="A283" s="26" t="s">
        <v>1236</v>
      </c>
      <c r="B283" s="26" t="s">
        <v>639</v>
      </c>
      <c r="C283" s="2">
        <v>19202000053</v>
      </c>
      <c r="D283" s="2">
        <v>18.010000000000002</v>
      </c>
      <c r="E283" s="379" t="s">
        <v>419</v>
      </c>
      <c r="F283" s="647"/>
      <c r="G283" s="647"/>
    </row>
    <row r="284" spans="1:7" x14ac:dyDescent="0.25">
      <c r="A284" s="26" t="s">
        <v>1236</v>
      </c>
      <c r="B284" s="26" t="s">
        <v>639</v>
      </c>
      <c r="C284" s="2">
        <v>19202000046</v>
      </c>
      <c r="D284" s="2">
        <v>17.52</v>
      </c>
      <c r="E284" s="379" t="s">
        <v>419</v>
      </c>
      <c r="F284" s="647"/>
      <c r="G284" s="647"/>
    </row>
    <row r="285" spans="1:7" x14ac:dyDescent="0.25">
      <c r="A285" s="26" t="s">
        <v>1236</v>
      </c>
      <c r="B285" s="26" t="s">
        <v>639</v>
      </c>
      <c r="C285" s="2">
        <v>19202000063</v>
      </c>
      <c r="D285" s="2">
        <v>17.510000000000002</v>
      </c>
      <c r="E285" s="226" t="s">
        <v>420</v>
      </c>
      <c r="F285" s="647"/>
      <c r="G285" s="647"/>
    </row>
    <row r="286" spans="1:7" x14ac:dyDescent="0.25">
      <c r="A286" s="26" t="s">
        <v>1236</v>
      </c>
      <c r="B286" s="26" t="s">
        <v>639</v>
      </c>
      <c r="C286" s="2">
        <v>19202000024</v>
      </c>
      <c r="D286" s="2">
        <v>17.399999999999999</v>
      </c>
      <c r="E286" s="379" t="s">
        <v>419</v>
      </c>
      <c r="F286" s="647"/>
      <c r="G286" s="647"/>
    </row>
    <row r="287" spans="1:7" x14ac:dyDescent="0.25">
      <c r="A287" s="26" t="s">
        <v>1236</v>
      </c>
      <c r="B287" s="26" t="s">
        <v>639</v>
      </c>
      <c r="C287" s="2">
        <v>19202000042</v>
      </c>
      <c r="D287" s="2">
        <v>17.38</v>
      </c>
      <c r="E287" s="226" t="s">
        <v>420</v>
      </c>
      <c r="F287" s="647"/>
      <c r="G287" s="647"/>
    </row>
    <row r="288" spans="1:7" x14ac:dyDescent="0.25">
      <c r="A288" s="26" t="s">
        <v>1236</v>
      </c>
      <c r="B288" s="26" t="s">
        <v>639</v>
      </c>
      <c r="C288" s="2">
        <v>19202000041</v>
      </c>
      <c r="D288" s="2">
        <v>17.27</v>
      </c>
      <c r="E288" s="379" t="s">
        <v>419</v>
      </c>
      <c r="F288" s="647"/>
      <c r="G288" s="647"/>
    </row>
    <row r="289" spans="1:7" x14ac:dyDescent="0.25">
      <c r="A289" s="26" t="s">
        <v>1236</v>
      </c>
      <c r="B289" s="26" t="s">
        <v>639</v>
      </c>
      <c r="C289" s="2">
        <v>19202000030</v>
      </c>
      <c r="D289" s="2">
        <v>16.89</v>
      </c>
      <c r="E289" s="379" t="s">
        <v>419</v>
      </c>
      <c r="F289" s="647"/>
      <c r="G289" s="647"/>
    </row>
    <row r="290" spans="1:7" x14ac:dyDescent="0.25">
      <c r="A290" s="26" t="s">
        <v>1236</v>
      </c>
      <c r="B290" s="26" t="s">
        <v>639</v>
      </c>
      <c r="C290" s="2">
        <v>19202000060</v>
      </c>
      <c r="D290" s="2">
        <v>16.89</v>
      </c>
      <c r="E290" s="379" t="s">
        <v>419</v>
      </c>
      <c r="F290" s="647"/>
      <c r="G290" s="647"/>
    </row>
    <row r="291" spans="1:7" x14ac:dyDescent="0.25">
      <c r="A291" s="26" t="s">
        <v>1236</v>
      </c>
      <c r="B291" s="26" t="s">
        <v>639</v>
      </c>
      <c r="C291" s="2">
        <v>19202000051</v>
      </c>
      <c r="D291" s="2">
        <v>16.63</v>
      </c>
      <c r="E291" s="379" t="s">
        <v>419</v>
      </c>
      <c r="F291" s="647"/>
      <c r="G291" s="647"/>
    </row>
    <row r="292" spans="1:7" x14ac:dyDescent="0.25">
      <c r="A292" s="26" t="s">
        <v>1236</v>
      </c>
      <c r="B292" s="26" t="s">
        <v>639</v>
      </c>
      <c r="C292" s="2">
        <v>19202000040</v>
      </c>
      <c r="D292" s="2">
        <v>16</v>
      </c>
      <c r="E292" s="379" t="s">
        <v>419</v>
      </c>
      <c r="F292" s="647"/>
      <c r="G292" s="647"/>
    </row>
    <row r="293" spans="1:7" x14ac:dyDescent="0.25">
      <c r="A293" s="26" t="s">
        <v>1236</v>
      </c>
      <c r="B293" s="26" t="s">
        <v>639</v>
      </c>
      <c r="C293" s="2">
        <v>19202000034</v>
      </c>
      <c r="D293" s="2">
        <v>15.75</v>
      </c>
      <c r="E293" s="379" t="s">
        <v>419</v>
      </c>
      <c r="F293" s="647"/>
      <c r="G293" s="647"/>
    </row>
    <row r="294" spans="1:7" x14ac:dyDescent="0.25">
      <c r="A294" s="26" t="s">
        <v>1236</v>
      </c>
      <c r="B294" s="26" t="s">
        <v>639</v>
      </c>
      <c r="C294" s="2">
        <v>19202000064</v>
      </c>
      <c r="D294" s="2">
        <v>15.51</v>
      </c>
      <c r="E294" s="379" t="s">
        <v>419</v>
      </c>
      <c r="F294" s="647"/>
      <c r="G294" s="647"/>
    </row>
    <row r="295" spans="1:7" x14ac:dyDescent="0.25">
      <c r="A295" s="26" t="s">
        <v>1236</v>
      </c>
      <c r="B295" s="26" t="s">
        <v>639</v>
      </c>
      <c r="C295" s="2">
        <v>19202000039</v>
      </c>
      <c r="D295" s="2">
        <v>14.88</v>
      </c>
      <c r="E295" s="226" t="s">
        <v>420</v>
      </c>
      <c r="F295" s="647"/>
      <c r="G295" s="647"/>
    </row>
    <row r="296" spans="1:7" x14ac:dyDescent="0.25">
      <c r="A296" s="26" t="s">
        <v>1236</v>
      </c>
      <c r="B296" s="26" t="s">
        <v>639</v>
      </c>
      <c r="C296" s="2">
        <v>19202000066</v>
      </c>
      <c r="D296" s="2">
        <v>14.88</v>
      </c>
      <c r="E296" s="226" t="s">
        <v>420</v>
      </c>
      <c r="F296" s="647"/>
      <c r="G296" s="647"/>
    </row>
    <row r="297" spans="1:7" x14ac:dyDescent="0.25">
      <c r="A297" s="26" t="s">
        <v>1236</v>
      </c>
      <c r="B297" s="26" t="s">
        <v>639</v>
      </c>
      <c r="C297" s="2">
        <v>19202000054</v>
      </c>
      <c r="D297" s="2">
        <v>14.4</v>
      </c>
      <c r="E297" s="226" t="s">
        <v>420</v>
      </c>
      <c r="F297" s="647"/>
      <c r="G297" s="647"/>
    </row>
    <row r="298" spans="1:7" x14ac:dyDescent="0.25">
      <c r="A298" s="26" t="s">
        <v>1236</v>
      </c>
      <c r="B298" s="26" t="s">
        <v>639</v>
      </c>
      <c r="C298" s="2">
        <v>19202000045</v>
      </c>
      <c r="D298" s="2">
        <v>14.15</v>
      </c>
      <c r="E298" s="226" t="s">
        <v>420</v>
      </c>
      <c r="F298" s="647"/>
      <c r="G298" s="647"/>
    </row>
    <row r="299" spans="1:7" x14ac:dyDescent="0.25">
      <c r="A299" s="26" t="s">
        <v>1236</v>
      </c>
      <c r="B299" s="26" t="s">
        <v>639</v>
      </c>
      <c r="C299" s="2">
        <v>19202000031</v>
      </c>
      <c r="D299" s="2">
        <v>12.77</v>
      </c>
      <c r="E299" s="226" t="s">
        <v>420</v>
      </c>
      <c r="F299" s="647"/>
      <c r="G299" s="647"/>
    </row>
    <row r="300" spans="1:7" x14ac:dyDescent="0.25">
      <c r="A300" s="26" t="s">
        <v>1236</v>
      </c>
      <c r="B300" s="26" t="s">
        <v>639</v>
      </c>
      <c r="C300" s="2">
        <v>19202000047</v>
      </c>
      <c r="D300" s="2">
        <v>12.52</v>
      </c>
      <c r="E300" s="226" t="s">
        <v>420</v>
      </c>
      <c r="F300" s="647"/>
      <c r="G300" s="647"/>
    </row>
    <row r="301" spans="1:7" x14ac:dyDescent="0.25">
      <c r="A301" s="26" t="s">
        <v>1236</v>
      </c>
      <c r="B301" s="26" t="s">
        <v>639</v>
      </c>
      <c r="C301" s="2">
        <v>19202000035</v>
      </c>
      <c r="D301" s="2">
        <v>11.65</v>
      </c>
      <c r="E301" s="226" t="s">
        <v>420</v>
      </c>
      <c r="F301" s="647"/>
      <c r="G301" s="647"/>
    </row>
    <row r="302" spans="1:7" x14ac:dyDescent="0.25">
      <c r="A302" s="26" t="s">
        <v>1236</v>
      </c>
      <c r="B302" s="26" t="s">
        <v>639</v>
      </c>
      <c r="C302" s="2">
        <v>19202000057</v>
      </c>
      <c r="D302" s="2">
        <v>10.89</v>
      </c>
      <c r="E302" s="226" t="s">
        <v>420</v>
      </c>
      <c r="F302" s="647"/>
      <c r="G302" s="647"/>
    </row>
    <row r="303" spans="1:7" x14ac:dyDescent="0.25">
      <c r="A303" s="26" t="s">
        <v>1236</v>
      </c>
      <c r="B303" s="26" t="s">
        <v>639</v>
      </c>
      <c r="C303" s="2">
        <v>19202000062</v>
      </c>
      <c r="D303" s="2">
        <v>9.27</v>
      </c>
      <c r="E303" s="226" t="s">
        <v>420</v>
      </c>
      <c r="F303" s="647"/>
      <c r="G303" s="647"/>
    </row>
    <row r="304" spans="1:7" x14ac:dyDescent="0.25">
      <c r="A304" s="26" t="s">
        <v>1245</v>
      </c>
      <c r="B304" s="26" t="s">
        <v>465</v>
      </c>
      <c r="C304" s="2">
        <v>19202000430</v>
      </c>
      <c r="D304" s="2">
        <v>22.35</v>
      </c>
      <c r="E304" s="379" t="s">
        <v>419</v>
      </c>
    </row>
    <row r="305" spans="1:5" x14ac:dyDescent="0.25">
      <c r="A305" s="26" t="s">
        <v>1245</v>
      </c>
      <c r="B305" s="26" t="s">
        <v>465</v>
      </c>
      <c r="C305" s="2">
        <v>19202000421</v>
      </c>
      <c r="D305" s="2">
        <v>21.86</v>
      </c>
      <c r="E305" s="379" t="s">
        <v>419</v>
      </c>
    </row>
    <row r="306" spans="1:5" x14ac:dyDescent="0.25">
      <c r="A306" s="26" t="s">
        <v>1245</v>
      </c>
      <c r="B306" s="26" t="s">
        <v>465</v>
      </c>
      <c r="C306" s="2">
        <v>19202000402</v>
      </c>
      <c r="D306" s="2">
        <v>20.18</v>
      </c>
      <c r="E306" s="379" t="s">
        <v>419</v>
      </c>
    </row>
    <row r="307" spans="1:5" x14ac:dyDescent="0.25">
      <c r="A307" s="26" t="s">
        <v>1245</v>
      </c>
      <c r="B307" s="26" t="s">
        <v>465</v>
      </c>
      <c r="C307" s="2">
        <v>19202000409</v>
      </c>
      <c r="D307" s="2">
        <v>19.850000000000001</v>
      </c>
      <c r="E307" s="379" t="s">
        <v>419</v>
      </c>
    </row>
    <row r="308" spans="1:5" x14ac:dyDescent="0.25">
      <c r="A308" s="26" t="s">
        <v>1245</v>
      </c>
      <c r="B308" s="26" t="s">
        <v>465</v>
      </c>
      <c r="C308" s="2">
        <v>19202000419</v>
      </c>
      <c r="D308" s="2">
        <v>19.190000000000001</v>
      </c>
      <c r="E308" s="379" t="s">
        <v>419</v>
      </c>
    </row>
    <row r="309" spans="1:5" x14ac:dyDescent="0.25">
      <c r="A309" s="26" t="s">
        <v>1245</v>
      </c>
      <c r="B309" s="26" t="s">
        <v>465</v>
      </c>
      <c r="C309" s="2">
        <v>19202000431</v>
      </c>
      <c r="D309" s="2">
        <v>18.690000000000001</v>
      </c>
      <c r="E309" s="379" t="s">
        <v>419</v>
      </c>
    </row>
    <row r="310" spans="1:5" x14ac:dyDescent="0.25">
      <c r="A310" s="26" t="s">
        <v>1245</v>
      </c>
      <c r="B310" s="26" t="s">
        <v>465</v>
      </c>
      <c r="C310" s="2">
        <v>19202000434</v>
      </c>
      <c r="D310" s="2">
        <v>15.69</v>
      </c>
      <c r="E310" s="379" t="s">
        <v>419</v>
      </c>
    </row>
    <row r="311" spans="1:5" x14ac:dyDescent="0.25">
      <c r="A311" s="26" t="s">
        <v>1245</v>
      </c>
      <c r="B311" s="26" t="s">
        <v>465</v>
      </c>
      <c r="C311" s="2">
        <v>19202000429</v>
      </c>
      <c r="D311" s="2">
        <v>18.68</v>
      </c>
      <c r="E311" s="226" t="s">
        <v>420</v>
      </c>
    </row>
    <row r="312" spans="1:5" x14ac:dyDescent="0.25">
      <c r="A312" s="26" t="s">
        <v>1245</v>
      </c>
      <c r="B312" s="26" t="s">
        <v>465</v>
      </c>
      <c r="C312" s="2">
        <v>19202000400</v>
      </c>
      <c r="D312" s="2">
        <v>16.37</v>
      </c>
      <c r="E312" s="226" t="s">
        <v>420</v>
      </c>
    </row>
    <row r="313" spans="1:5" x14ac:dyDescent="0.25">
      <c r="A313" s="26" t="s">
        <v>1245</v>
      </c>
      <c r="B313" s="26" t="s">
        <v>465</v>
      </c>
      <c r="C313" s="2">
        <v>19202000432</v>
      </c>
      <c r="D313" s="2">
        <v>14.52</v>
      </c>
      <c r="E313" s="226" t="s">
        <v>420</v>
      </c>
    </row>
    <row r="314" spans="1:5" x14ac:dyDescent="0.25">
      <c r="A314" s="26" t="s">
        <v>1245</v>
      </c>
      <c r="B314" s="26" t="s">
        <v>465</v>
      </c>
      <c r="C314" s="2">
        <v>19202000426</v>
      </c>
      <c r="D314" s="2">
        <v>14.19</v>
      </c>
      <c r="E314" s="226" t="s">
        <v>420</v>
      </c>
    </row>
    <row r="315" spans="1:5" x14ac:dyDescent="0.25">
      <c r="A315" s="26" t="s">
        <v>1245</v>
      </c>
      <c r="B315" s="26" t="s">
        <v>465</v>
      </c>
      <c r="C315" s="2">
        <v>19202000422</v>
      </c>
      <c r="D315" s="2">
        <v>12.03</v>
      </c>
      <c r="E315" s="226" t="s">
        <v>420</v>
      </c>
    </row>
    <row r="316" spans="1:5" x14ac:dyDescent="0.25">
      <c r="A316" s="26" t="s">
        <v>1245</v>
      </c>
      <c r="B316" s="375" t="s">
        <v>465</v>
      </c>
      <c r="C316" s="179">
        <v>19202000433</v>
      </c>
      <c r="D316" s="179">
        <v>11.68</v>
      </c>
      <c r="E316" s="383" t="s">
        <v>420</v>
      </c>
    </row>
    <row r="317" spans="1:5" x14ac:dyDescent="0.25">
      <c r="A317" s="26" t="s">
        <v>1255</v>
      </c>
      <c r="B317" s="655" t="s">
        <v>463</v>
      </c>
      <c r="C317" s="753">
        <v>19202000605</v>
      </c>
      <c r="D317" s="786">
        <v>18.84</v>
      </c>
      <c r="E317" s="784" t="s">
        <v>419</v>
      </c>
    </row>
    <row r="318" spans="1:5" x14ac:dyDescent="0.25">
      <c r="A318" s="26" t="s">
        <v>1255</v>
      </c>
      <c r="B318" s="655" t="s">
        <v>463</v>
      </c>
      <c r="C318" s="753">
        <v>19202000611</v>
      </c>
      <c r="D318" s="786">
        <v>17.84</v>
      </c>
      <c r="E318" s="784" t="s">
        <v>419</v>
      </c>
    </row>
    <row r="319" spans="1:5" x14ac:dyDescent="0.25">
      <c r="A319" s="26" t="s">
        <v>1255</v>
      </c>
      <c r="B319" s="655" t="s">
        <v>463</v>
      </c>
      <c r="C319" s="753">
        <v>19202000613</v>
      </c>
      <c r="D319" s="786">
        <v>17.670000000000002</v>
      </c>
      <c r="E319" s="784" t="s">
        <v>419</v>
      </c>
    </row>
    <row r="320" spans="1:5" x14ac:dyDescent="0.25">
      <c r="A320" s="26" t="s">
        <v>1255</v>
      </c>
      <c r="B320" s="655" t="s">
        <v>463</v>
      </c>
      <c r="C320" s="753">
        <v>19202000618</v>
      </c>
      <c r="D320" s="786">
        <v>17.350000000000001</v>
      </c>
      <c r="E320" s="784" t="s">
        <v>419</v>
      </c>
    </row>
    <row r="321" spans="1:7" x14ac:dyDescent="0.25">
      <c r="A321" s="26" t="s">
        <v>1255</v>
      </c>
      <c r="B321" s="655" t="s">
        <v>463</v>
      </c>
      <c r="C321" s="753">
        <v>19202000604</v>
      </c>
      <c r="D321" s="786">
        <v>17.34</v>
      </c>
      <c r="E321" s="784" t="s">
        <v>419</v>
      </c>
    </row>
    <row r="322" spans="1:7" x14ac:dyDescent="0.25">
      <c r="A322" s="26" t="s">
        <v>1255</v>
      </c>
      <c r="B322" s="655" t="s">
        <v>463</v>
      </c>
      <c r="C322" s="753">
        <v>19202000617</v>
      </c>
      <c r="D322" s="786">
        <v>17.190000000000001</v>
      </c>
      <c r="E322" s="784" t="s">
        <v>419</v>
      </c>
    </row>
    <row r="323" spans="1:7" x14ac:dyDescent="0.25">
      <c r="A323" s="26" t="s">
        <v>1255</v>
      </c>
      <c r="B323" s="655" t="s">
        <v>463</v>
      </c>
      <c r="C323" s="754">
        <v>19202000601</v>
      </c>
      <c r="D323" s="783">
        <v>5.18</v>
      </c>
      <c r="E323" s="785" t="s">
        <v>420</v>
      </c>
    </row>
    <row r="324" spans="1:7" x14ac:dyDescent="0.25">
      <c r="A324" s="2" t="s">
        <v>1349</v>
      </c>
      <c r="B324" s="2" t="s">
        <v>1350</v>
      </c>
      <c r="C324" s="2">
        <v>19202100649</v>
      </c>
      <c r="D324" s="2">
        <v>20</v>
      </c>
      <c r="E324" s="820" t="s">
        <v>419</v>
      </c>
    </row>
    <row r="325" spans="1:7" x14ac:dyDescent="0.25">
      <c r="A325" s="2" t="s">
        <v>1349</v>
      </c>
      <c r="B325" s="2" t="s">
        <v>1350</v>
      </c>
      <c r="C325" s="2">
        <v>19202100629</v>
      </c>
      <c r="D325" s="2">
        <v>19.84</v>
      </c>
      <c r="E325" s="820" t="s">
        <v>419</v>
      </c>
    </row>
    <row r="326" spans="1:7" x14ac:dyDescent="0.25">
      <c r="A326" s="2" t="s">
        <v>1349</v>
      </c>
      <c r="B326" s="2" t="s">
        <v>1350</v>
      </c>
      <c r="C326" s="2">
        <v>19202100359</v>
      </c>
      <c r="D326" s="2">
        <v>19.18</v>
      </c>
      <c r="E326" s="820" t="s">
        <v>419</v>
      </c>
    </row>
    <row r="327" spans="1:7" x14ac:dyDescent="0.25">
      <c r="A327" s="2" t="s">
        <v>1349</v>
      </c>
      <c r="B327" s="2" t="s">
        <v>1350</v>
      </c>
      <c r="C327" s="2">
        <v>19202100604</v>
      </c>
      <c r="D327" s="2">
        <v>18.690000000000001</v>
      </c>
      <c r="E327" s="820" t="s">
        <v>419</v>
      </c>
    </row>
    <row r="328" spans="1:7" x14ac:dyDescent="0.25">
      <c r="A328" s="2" t="s">
        <v>1349</v>
      </c>
      <c r="B328" s="2" t="s">
        <v>1350</v>
      </c>
      <c r="C328" s="2">
        <v>19202100628</v>
      </c>
      <c r="D328" s="2">
        <v>18.690000000000001</v>
      </c>
      <c r="E328" s="820" t="s">
        <v>419</v>
      </c>
    </row>
    <row r="329" spans="1:7" x14ac:dyDescent="0.25">
      <c r="A329" s="2" t="s">
        <v>1349</v>
      </c>
      <c r="B329" s="2" t="s">
        <v>1350</v>
      </c>
      <c r="C329" s="2">
        <v>19202100638</v>
      </c>
      <c r="D329" s="2">
        <v>18.670000000000002</v>
      </c>
      <c r="E329" s="820" t="s">
        <v>419</v>
      </c>
    </row>
    <row r="330" spans="1:7" x14ac:dyDescent="0.25">
      <c r="A330" s="2" t="s">
        <v>1349</v>
      </c>
      <c r="B330" s="2" t="s">
        <v>1350</v>
      </c>
      <c r="C330" s="2">
        <v>19202100622</v>
      </c>
      <c r="D330" s="2">
        <v>18.52</v>
      </c>
      <c r="E330" s="820" t="s">
        <v>419</v>
      </c>
    </row>
    <row r="331" spans="1:7" x14ac:dyDescent="0.25">
      <c r="A331" s="2" t="s">
        <v>1349</v>
      </c>
      <c r="B331" s="2" t="s">
        <v>1350</v>
      </c>
      <c r="C331" s="2">
        <v>19202100626</v>
      </c>
      <c r="D331" s="2">
        <v>17.690000000000001</v>
      </c>
      <c r="E331" s="820" t="s">
        <v>419</v>
      </c>
    </row>
    <row r="332" spans="1:7" x14ac:dyDescent="0.25">
      <c r="A332" s="2" t="s">
        <v>1349</v>
      </c>
      <c r="B332" s="2" t="s">
        <v>1354</v>
      </c>
      <c r="C332" s="2">
        <v>19202100625</v>
      </c>
      <c r="D332" s="2">
        <v>19.75</v>
      </c>
      <c r="E332" s="820" t="s">
        <v>419</v>
      </c>
      <c r="F332" s="647"/>
      <c r="G332" s="647"/>
    </row>
    <row r="333" spans="1:7" x14ac:dyDescent="0.25">
      <c r="A333" s="2" t="s">
        <v>1349</v>
      </c>
      <c r="B333" s="2" t="s">
        <v>1354</v>
      </c>
      <c r="C333" s="2">
        <v>19202100610</v>
      </c>
      <c r="D333" s="2">
        <v>19.13</v>
      </c>
      <c r="E333" s="820" t="s">
        <v>419</v>
      </c>
      <c r="F333" s="647"/>
      <c r="G333" s="647"/>
    </row>
    <row r="334" spans="1:7" x14ac:dyDescent="0.25">
      <c r="A334" s="2" t="s">
        <v>1349</v>
      </c>
      <c r="B334" s="2" t="s">
        <v>1354</v>
      </c>
      <c r="C334" s="2">
        <v>19202100641</v>
      </c>
      <c r="D334" s="2">
        <v>19</v>
      </c>
      <c r="E334" s="820" t="s">
        <v>419</v>
      </c>
      <c r="F334" s="647"/>
      <c r="G334" s="647"/>
    </row>
    <row r="335" spans="1:7" x14ac:dyDescent="0.25">
      <c r="A335" s="2" t="s">
        <v>1349</v>
      </c>
      <c r="B335" s="2" t="s">
        <v>1354</v>
      </c>
      <c r="C335" s="2">
        <v>19202100603</v>
      </c>
      <c r="D335" s="2">
        <v>18.88</v>
      </c>
      <c r="E335" s="820" t="s">
        <v>419</v>
      </c>
      <c r="F335" s="647"/>
      <c r="G335" s="647"/>
    </row>
    <row r="336" spans="1:7" x14ac:dyDescent="0.25">
      <c r="A336" s="2" t="s">
        <v>1349</v>
      </c>
      <c r="B336" s="2" t="s">
        <v>1354</v>
      </c>
      <c r="C336" s="2">
        <v>19202100639</v>
      </c>
      <c r="D336" s="2">
        <v>18.88</v>
      </c>
      <c r="E336" s="820" t="s">
        <v>419</v>
      </c>
      <c r="F336" s="647"/>
      <c r="G336" s="647"/>
    </row>
    <row r="337" spans="1:7" x14ac:dyDescent="0.25">
      <c r="A337" s="2" t="s">
        <v>1349</v>
      </c>
      <c r="B337" s="2" t="s">
        <v>1354</v>
      </c>
      <c r="C337" s="2">
        <v>19202100617</v>
      </c>
      <c r="D337" s="2">
        <v>18.63</v>
      </c>
      <c r="E337" s="820" t="s">
        <v>419</v>
      </c>
      <c r="F337" s="647"/>
      <c r="G337" s="647"/>
    </row>
    <row r="338" spans="1:7" x14ac:dyDescent="0.25">
      <c r="A338" s="2" t="s">
        <v>1349</v>
      </c>
      <c r="B338" s="2" t="s">
        <v>1354</v>
      </c>
      <c r="C338" s="2">
        <v>19202100631</v>
      </c>
      <c r="D338" s="2">
        <v>18.63</v>
      </c>
      <c r="E338" s="820" t="s">
        <v>419</v>
      </c>
      <c r="F338" s="647"/>
      <c r="G338" s="647"/>
    </row>
    <row r="339" spans="1:7" x14ac:dyDescent="0.25">
      <c r="A339" s="2" t="s">
        <v>1349</v>
      </c>
      <c r="B339" s="2" t="s">
        <v>1354</v>
      </c>
      <c r="C339" s="2">
        <v>19202100634</v>
      </c>
      <c r="D339" s="2">
        <v>18.510000000000002</v>
      </c>
      <c r="E339" s="820" t="s">
        <v>419</v>
      </c>
      <c r="F339" s="647"/>
      <c r="G339" s="647"/>
    </row>
    <row r="340" spans="1:7" x14ac:dyDescent="0.25">
      <c r="A340" s="2" t="s">
        <v>1349</v>
      </c>
      <c r="B340" s="2" t="s">
        <v>1354</v>
      </c>
      <c r="C340" s="2">
        <v>19202100527</v>
      </c>
      <c r="D340" s="2">
        <v>18.38</v>
      </c>
      <c r="E340" s="820" t="s">
        <v>419</v>
      </c>
      <c r="F340" s="647"/>
      <c r="G340" s="647"/>
    </row>
    <row r="341" spans="1:7" x14ac:dyDescent="0.25">
      <c r="A341" s="2" t="s">
        <v>1349</v>
      </c>
      <c r="B341" s="2" t="s">
        <v>1354</v>
      </c>
      <c r="C341" s="2">
        <v>19202100619</v>
      </c>
      <c r="D341" s="2">
        <v>17.64</v>
      </c>
      <c r="E341" s="820" t="s">
        <v>419</v>
      </c>
      <c r="F341" s="647"/>
      <c r="G341" s="647"/>
    </row>
    <row r="342" spans="1:7" x14ac:dyDescent="0.25">
      <c r="A342" s="2" t="s">
        <v>1349</v>
      </c>
      <c r="B342" s="2" t="s">
        <v>1354</v>
      </c>
      <c r="C342" s="2">
        <v>19202100637</v>
      </c>
      <c r="D342" s="2">
        <v>17.63</v>
      </c>
      <c r="E342" s="820" t="s">
        <v>419</v>
      </c>
      <c r="F342" s="647"/>
      <c r="G342" s="647"/>
    </row>
    <row r="343" spans="1:7" x14ac:dyDescent="0.25">
      <c r="A343" s="2" t="s">
        <v>1349</v>
      </c>
      <c r="B343" s="2" t="s">
        <v>1354</v>
      </c>
      <c r="C343" s="2">
        <v>19202100608</v>
      </c>
      <c r="D343" s="2">
        <v>16.88</v>
      </c>
      <c r="E343" s="820" t="s">
        <v>419</v>
      </c>
      <c r="F343" s="647"/>
      <c r="G343" s="647"/>
    </row>
    <row r="344" spans="1:7" x14ac:dyDescent="0.25">
      <c r="A344" s="2" t="s">
        <v>1349</v>
      </c>
      <c r="B344" s="2" t="s">
        <v>1354</v>
      </c>
      <c r="C344" s="2">
        <v>19202100635</v>
      </c>
      <c r="D344" s="2">
        <v>16.63</v>
      </c>
      <c r="E344" s="820" t="s">
        <v>419</v>
      </c>
      <c r="F344" s="647"/>
      <c r="G344" s="647"/>
    </row>
    <row r="345" spans="1:7" x14ac:dyDescent="0.25">
      <c r="A345" s="2" t="s">
        <v>1349</v>
      </c>
      <c r="B345" s="2" t="s">
        <v>1354</v>
      </c>
      <c r="C345" s="2">
        <v>19202100605</v>
      </c>
      <c r="D345" s="2">
        <v>15.89</v>
      </c>
      <c r="E345" s="820" t="s">
        <v>419</v>
      </c>
      <c r="F345" s="647"/>
      <c r="G345" s="647"/>
    </row>
    <row r="346" spans="1:7" x14ac:dyDescent="0.25">
      <c r="A346" s="2" t="s">
        <v>1349</v>
      </c>
      <c r="B346" s="2" t="s">
        <v>1354</v>
      </c>
      <c r="C346" s="2">
        <v>19202100644</v>
      </c>
      <c r="D346" s="2">
        <v>15.89</v>
      </c>
      <c r="E346" s="820" t="s">
        <v>419</v>
      </c>
      <c r="F346" s="647"/>
      <c r="G346" s="647"/>
    </row>
    <row r="347" spans="1:7" x14ac:dyDescent="0.25">
      <c r="A347" s="2" t="s">
        <v>1349</v>
      </c>
      <c r="B347" s="2" t="s">
        <v>1354</v>
      </c>
      <c r="C347" s="2">
        <v>19202100624</v>
      </c>
      <c r="D347" s="2">
        <v>14.26</v>
      </c>
      <c r="E347" s="820" t="s">
        <v>419</v>
      </c>
      <c r="F347" s="647"/>
      <c r="G347" s="647"/>
    </row>
    <row r="348" spans="1:7" x14ac:dyDescent="0.25">
      <c r="A348" s="2" t="s">
        <v>1349</v>
      </c>
      <c r="B348" s="2" t="s">
        <v>1354</v>
      </c>
      <c r="C348" s="2">
        <v>19202100646</v>
      </c>
      <c r="D348" s="2">
        <v>11.65</v>
      </c>
      <c r="E348" s="683" t="s">
        <v>420</v>
      </c>
      <c r="F348" s="647"/>
      <c r="G348" s="647"/>
    </row>
    <row r="349" spans="1:7" x14ac:dyDescent="0.25">
      <c r="A349" s="2" t="s">
        <v>1349</v>
      </c>
      <c r="B349" s="2" t="s">
        <v>1354</v>
      </c>
      <c r="C349" s="2">
        <v>19202100511</v>
      </c>
      <c r="D349" s="2">
        <v>10.14</v>
      </c>
      <c r="E349" s="683" t="s">
        <v>420</v>
      </c>
      <c r="F349" s="647"/>
      <c r="G349" s="647"/>
    </row>
    <row r="350" spans="1:7" x14ac:dyDescent="0.25">
      <c r="A350" s="2" t="s">
        <v>1349</v>
      </c>
      <c r="B350" s="2" t="s">
        <v>1354</v>
      </c>
      <c r="C350" s="2">
        <v>19202100597</v>
      </c>
      <c r="D350" s="2">
        <v>9.39</v>
      </c>
      <c r="E350" s="683" t="s">
        <v>420</v>
      </c>
      <c r="F350" s="647"/>
      <c r="G350" s="647"/>
    </row>
    <row r="351" spans="1:7" x14ac:dyDescent="0.25">
      <c r="A351" s="2" t="s">
        <v>1349</v>
      </c>
      <c r="B351" s="2" t="s">
        <v>1354</v>
      </c>
      <c r="C351" s="2">
        <v>19202100642</v>
      </c>
      <c r="D351" s="2">
        <v>7.65</v>
      </c>
      <c r="E351" s="683" t="s">
        <v>420</v>
      </c>
      <c r="F351" s="647"/>
      <c r="G351" s="647"/>
    </row>
    <row r="352" spans="1:7" x14ac:dyDescent="0.25">
      <c r="A352" s="2" t="s">
        <v>1349</v>
      </c>
      <c r="B352" s="2" t="s">
        <v>1354</v>
      </c>
      <c r="C352" s="2">
        <v>19202100645</v>
      </c>
      <c r="D352" s="2" t="s">
        <v>967</v>
      </c>
      <c r="E352" s="683" t="s">
        <v>420</v>
      </c>
      <c r="F352" s="647"/>
      <c r="G352" s="647"/>
    </row>
    <row r="353" spans="1:7" x14ac:dyDescent="0.25">
      <c r="A353" s="2" t="s">
        <v>1349</v>
      </c>
      <c r="B353" s="2" t="s">
        <v>1354</v>
      </c>
      <c r="C353" s="2">
        <v>19202100648</v>
      </c>
      <c r="D353" s="2" t="s">
        <v>967</v>
      </c>
      <c r="E353" s="683" t="s">
        <v>420</v>
      </c>
      <c r="F353" s="647"/>
      <c r="G353" s="647"/>
    </row>
    <row r="354" spans="1:7" x14ac:dyDescent="0.25">
      <c r="A354" t="s">
        <v>1460</v>
      </c>
      <c r="B354" t="s">
        <v>1459</v>
      </c>
      <c r="C354" s="829">
        <v>19202101153</v>
      </c>
      <c r="D354" s="829">
        <v>23.02</v>
      </c>
      <c r="E354" s="820" t="s">
        <v>419</v>
      </c>
    </row>
    <row r="355" spans="1:7" x14ac:dyDescent="0.25">
      <c r="A355" s="829" t="s">
        <v>1460</v>
      </c>
      <c r="B355" s="829" t="s">
        <v>1459</v>
      </c>
      <c r="C355" s="829">
        <v>19202101155</v>
      </c>
      <c r="D355" s="829">
        <v>22.19</v>
      </c>
      <c r="E355" s="820" t="s">
        <v>419</v>
      </c>
    </row>
    <row r="356" spans="1:7" x14ac:dyDescent="0.25">
      <c r="A356" s="829" t="s">
        <v>1460</v>
      </c>
      <c r="B356" s="829" t="s">
        <v>1459</v>
      </c>
      <c r="C356" s="829">
        <v>19202101163</v>
      </c>
      <c r="D356" s="829">
        <v>21.53</v>
      </c>
      <c r="E356" s="820" t="s">
        <v>419</v>
      </c>
    </row>
    <row r="357" spans="1:7" x14ac:dyDescent="0.25">
      <c r="A357" s="829" t="s">
        <v>1460</v>
      </c>
      <c r="B357" s="829" t="s">
        <v>1459</v>
      </c>
      <c r="C357" s="829">
        <v>19202101076</v>
      </c>
      <c r="D357" s="829">
        <v>21.18</v>
      </c>
      <c r="E357" s="820" t="s">
        <v>419</v>
      </c>
    </row>
    <row r="358" spans="1:7" x14ac:dyDescent="0.25">
      <c r="A358" s="829" t="s">
        <v>1460</v>
      </c>
      <c r="B358" s="829" t="s">
        <v>1459</v>
      </c>
      <c r="C358" s="829">
        <v>19202101184</v>
      </c>
      <c r="D358" s="829">
        <v>21.03</v>
      </c>
      <c r="E358" s="820" t="s">
        <v>419</v>
      </c>
    </row>
    <row r="359" spans="1:7" x14ac:dyDescent="0.25">
      <c r="A359" s="829" t="s">
        <v>1460</v>
      </c>
      <c r="B359" s="829" t="s">
        <v>1459</v>
      </c>
      <c r="C359" s="829">
        <v>19202101185</v>
      </c>
      <c r="D359" s="829">
        <v>21.03</v>
      </c>
      <c r="E359" s="820" t="s">
        <v>419</v>
      </c>
    </row>
    <row r="360" spans="1:7" x14ac:dyDescent="0.25">
      <c r="A360" s="829" t="s">
        <v>1460</v>
      </c>
      <c r="B360" s="829" t="s">
        <v>1459</v>
      </c>
      <c r="C360" s="829">
        <v>19202101147</v>
      </c>
      <c r="D360" s="829">
        <v>21.02</v>
      </c>
      <c r="E360" s="820" t="s">
        <v>419</v>
      </c>
    </row>
    <row r="361" spans="1:7" x14ac:dyDescent="0.25">
      <c r="A361" s="829" t="s">
        <v>1460</v>
      </c>
      <c r="B361" s="829" t="s">
        <v>1459</v>
      </c>
      <c r="C361" s="829">
        <v>19202101146</v>
      </c>
      <c r="D361" s="829">
        <v>21.01</v>
      </c>
      <c r="E361" s="820" t="s">
        <v>419</v>
      </c>
    </row>
    <row r="362" spans="1:7" x14ac:dyDescent="0.25">
      <c r="A362" s="829" t="s">
        <v>1460</v>
      </c>
      <c r="B362" s="829" t="s">
        <v>1459</v>
      </c>
      <c r="C362" s="829">
        <v>19202101176</v>
      </c>
      <c r="D362" s="829">
        <v>20.69</v>
      </c>
      <c r="E362" s="820" t="s">
        <v>419</v>
      </c>
    </row>
    <row r="363" spans="1:7" x14ac:dyDescent="0.25">
      <c r="A363" s="829" t="s">
        <v>1460</v>
      </c>
      <c r="B363" s="829" t="s">
        <v>1459</v>
      </c>
      <c r="C363" s="829">
        <v>19202101190</v>
      </c>
      <c r="D363" s="829">
        <v>20.69</v>
      </c>
      <c r="E363" s="820" t="s">
        <v>419</v>
      </c>
    </row>
    <row r="364" spans="1:7" x14ac:dyDescent="0.25">
      <c r="A364" s="829" t="s">
        <v>1460</v>
      </c>
      <c r="B364" s="829" t="s">
        <v>1459</v>
      </c>
      <c r="C364" s="829">
        <v>19202101174</v>
      </c>
      <c r="D364" s="829">
        <v>20.52</v>
      </c>
      <c r="E364" s="820" t="s">
        <v>419</v>
      </c>
    </row>
    <row r="365" spans="1:7" x14ac:dyDescent="0.25">
      <c r="A365" s="829" t="s">
        <v>1460</v>
      </c>
      <c r="B365" s="829" t="s">
        <v>1459</v>
      </c>
      <c r="C365" s="829">
        <v>19202101152</v>
      </c>
      <c r="D365" s="829">
        <v>20.03</v>
      </c>
      <c r="E365" s="820" t="s">
        <v>419</v>
      </c>
    </row>
    <row r="366" spans="1:7" x14ac:dyDescent="0.25">
      <c r="A366" s="829" t="s">
        <v>1460</v>
      </c>
      <c r="B366" s="829" t="s">
        <v>1459</v>
      </c>
      <c r="C366" s="829">
        <v>19202101191</v>
      </c>
      <c r="D366" s="829">
        <v>19.84</v>
      </c>
      <c r="E366" s="820" t="s">
        <v>419</v>
      </c>
    </row>
    <row r="367" spans="1:7" x14ac:dyDescent="0.25">
      <c r="A367" s="829" t="s">
        <v>1460</v>
      </c>
      <c r="B367" s="829" t="s">
        <v>1459</v>
      </c>
      <c r="C367" s="829">
        <v>19202101130</v>
      </c>
      <c r="D367" s="829">
        <v>19.03</v>
      </c>
      <c r="E367" s="820" t="s">
        <v>419</v>
      </c>
    </row>
    <row r="368" spans="1:7" x14ac:dyDescent="0.25">
      <c r="A368" s="829" t="s">
        <v>1460</v>
      </c>
      <c r="B368" s="829" t="s">
        <v>1459</v>
      </c>
      <c r="C368" s="829">
        <v>19202101192</v>
      </c>
      <c r="D368" s="829">
        <v>19.03</v>
      </c>
      <c r="E368" s="820" t="s">
        <v>419</v>
      </c>
    </row>
    <row r="369" spans="1:5" x14ac:dyDescent="0.25">
      <c r="A369" s="829" t="s">
        <v>1460</v>
      </c>
      <c r="B369" s="829" t="s">
        <v>1459</v>
      </c>
      <c r="C369" s="829">
        <v>19202101178</v>
      </c>
      <c r="D369" s="829">
        <v>19.010000000000002</v>
      </c>
      <c r="E369" s="820" t="s">
        <v>419</v>
      </c>
    </row>
    <row r="370" spans="1:5" x14ac:dyDescent="0.25">
      <c r="A370" s="829" t="s">
        <v>1460</v>
      </c>
      <c r="B370" s="829" t="s">
        <v>1459</v>
      </c>
      <c r="C370" s="829">
        <v>19202101156</v>
      </c>
      <c r="D370" s="829">
        <v>18.86</v>
      </c>
      <c r="E370" s="820" t="s">
        <v>419</v>
      </c>
    </row>
    <row r="371" spans="1:5" x14ac:dyDescent="0.25">
      <c r="A371" s="829" t="s">
        <v>1460</v>
      </c>
      <c r="B371" s="829" t="s">
        <v>1459</v>
      </c>
      <c r="C371" s="829">
        <v>19202101145</v>
      </c>
      <c r="D371" s="829">
        <v>18.53</v>
      </c>
      <c r="E371" s="820" t="s">
        <v>419</v>
      </c>
    </row>
    <row r="372" spans="1:5" x14ac:dyDescent="0.25">
      <c r="A372" s="829" t="s">
        <v>1460</v>
      </c>
      <c r="B372" s="829" t="s">
        <v>1459</v>
      </c>
      <c r="C372" s="829">
        <v>19202101175</v>
      </c>
      <c r="D372" s="829">
        <v>18.36</v>
      </c>
      <c r="E372" s="820" t="s">
        <v>419</v>
      </c>
    </row>
    <row r="373" spans="1:5" x14ac:dyDescent="0.25">
      <c r="A373" s="829" t="s">
        <v>1460</v>
      </c>
      <c r="B373" s="829" t="s">
        <v>1459</v>
      </c>
      <c r="C373" s="829">
        <v>19202101144</v>
      </c>
      <c r="D373" s="829">
        <v>18.190000000000001</v>
      </c>
      <c r="E373" s="820" t="s">
        <v>419</v>
      </c>
    </row>
    <row r="374" spans="1:5" x14ac:dyDescent="0.25">
      <c r="A374" s="829" t="s">
        <v>1460</v>
      </c>
      <c r="B374" s="829" t="s">
        <v>1459</v>
      </c>
      <c r="C374" s="829">
        <v>19202101182</v>
      </c>
      <c r="D374" s="829">
        <v>18.03</v>
      </c>
      <c r="E374" s="820" t="s">
        <v>419</v>
      </c>
    </row>
    <row r="375" spans="1:5" x14ac:dyDescent="0.25">
      <c r="A375" s="829" t="s">
        <v>1460</v>
      </c>
      <c r="B375" s="829" t="s">
        <v>1459</v>
      </c>
      <c r="C375" s="829">
        <v>19202101194</v>
      </c>
      <c r="D375" s="829">
        <v>18.03</v>
      </c>
      <c r="E375" s="820" t="s">
        <v>419</v>
      </c>
    </row>
    <row r="376" spans="1:5" x14ac:dyDescent="0.25">
      <c r="A376" s="829" t="s">
        <v>1460</v>
      </c>
      <c r="B376" s="829" t="s">
        <v>1459</v>
      </c>
      <c r="C376" s="829">
        <v>19202101166</v>
      </c>
      <c r="D376" s="829">
        <v>17.88</v>
      </c>
      <c r="E376" s="820" t="s">
        <v>419</v>
      </c>
    </row>
    <row r="377" spans="1:5" x14ac:dyDescent="0.25">
      <c r="A377" s="829" t="s">
        <v>1460</v>
      </c>
      <c r="B377" s="829" t="s">
        <v>1459</v>
      </c>
      <c r="C377" s="829">
        <v>19202101172</v>
      </c>
      <c r="D377" s="829">
        <v>17.850000000000001</v>
      </c>
      <c r="E377" s="820" t="s">
        <v>419</v>
      </c>
    </row>
    <row r="378" spans="1:5" x14ac:dyDescent="0.25">
      <c r="A378" s="829" t="s">
        <v>1460</v>
      </c>
      <c r="B378" s="829" t="s">
        <v>1459</v>
      </c>
      <c r="C378" s="829">
        <v>19202101186</v>
      </c>
      <c r="D378" s="829">
        <v>17.510000000000002</v>
      </c>
      <c r="E378" s="820" t="s">
        <v>419</v>
      </c>
    </row>
    <row r="379" spans="1:5" x14ac:dyDescent="0.25">
      <c r="A379" s="829" t="s">
        <v>1460</v>
      </c>
      <c r="B379" s="829" t="s">
        <v>1459</v>
      </c>
      <c r="C379" s="829">
        <v>19202101180</v>
      </c>
      <c r="D379" s="829">
        <v>17.36</v>
      </c>
      <c r="E379" s="820" t="s">
        <v>419</v>
      </c>
    </row>
    <row r="380" spans="1:5" x14ac:dyDescent="0.25">
      <c r="A380" s="829" t="s">
        <v>1460</v>
      </c>
      <c r="B380" s="829" t="s">
        <v>1459</v>
      </c>
      <c r="C380" s="829">
        <v>19202101101</v>
      </c>
      <c r="D380" s="829">
        <v>16.71</v>
      </c>
      <c r="E380" s="820" t="s">
        <v>419</v>
      </c>
    </row>
    <row r="381" spans="1:5" x14ac:dyDescent="0.25">
      <c r="A381" s="829" t="s">
        <v>1460</v>
      </c>
      <c r="B381" s="829" t="s">
        <v>1459</v>
      </c>
      <c r="C381" s="829">
        <v>19202101071</v>
      </c>
      <c r="D381" s="829">
        <v>16.52</v>
      </c>
      <c r="E381" s="820" t="s">
        <v>419</v>
      </c>
    </row>
    <row r="382" spans="1:5" x14ac:dyDescent="0.25">
      <c r="A382" s="829" t="s">
        <v>1460</v>
      </c>
      <c r="B382" s="829" t="s">
        <v>1459</v>
      </c>
      <c r="C382" s="829">
        <v>19202100827</v>
      </c>
      <c r="D382" s="829">
        <v>16.36</v>
      </c>
      <c r="E382" s="820" t="s">
        <v>419</v>
      </c>
    </row>
    <row r="383" spans="1:5" x14ac:dyDescent="0.25">
      <c r="A383" s="829" t="s">
        <v>1460</v>
      </c>
      <c r="B383" s="829" t="s">
        <v>1459</v>
      </c>
      <c r="C383" s="829">
        <v>19202101187</v>
      </c>
      <c r="D383" s="829">
        <v>16.36</v>
      </c>
      <c r="E383" s="820" t="s">
        <v>419</v>
      </c>
    </row>
    <row r="384" spans="1:5" x14ac:dyDescent="0.25">
      <c r="A384" s="829" t="s">
        <v>1460</v>
      </c>
      <c r="B384" s="829" t="s">
        <v>1459</v>
      </c>
      <c r="C384" s="829">
        <v>19202101173</v>
      </c>
      <c r="D384" s="829">
        <v>16.350000000000001</v>
      </c>
      <c r="E384" s="820" t="s">
        <v>419</v>
      </c>
    </row>
    <row r="385" spans="1:5" x14ac:dyDescent="0.25">
      <c r="A385" s="829" t="s">
        <v>1460</v>
      </c>
      <c r="B385" s="829" t="s">
        <v>1459</v>
      </c>
      <c r="C385" s="829">
        <v>19202101148</v>
      </c>
      <c r="D385" s="829">
        <v>16.02</v>
      </c>
      <c r="E385" s="683" t="s">
        <v>420</v>
      </c>
    </row>
    <row r="386" spans="1:5" x14ac:dyDescent="0.25">
      <c r="A386" s="829" t="s">
        <v>1460</v>
      </c>
      <c r="B386" s="829" t="s">
        <v>1459</v>
      </c>
      <c r="C386" s="829">
        <v>19202101017</v>
      </c>
      <c r="D386" s="829">
        <v>15.36</v>
      </c>
      <c r="E386" s="820" t="s">
        <v>419</v>
      </c>
    </row>
    <row r="387" spans="1:5" x14ac:dyDescent="0.25">
      <c r="A387" s="829" t="s">
        <v>1460</v>
      </c>
      <c r="B387" s="829" t="s">
        <v>1459</v>
      </c>
      <c r="C387" s="829">
        <v>19202101037</v>
      </c>
      <c r="D387" s="829">
        <v>14.54</v>
      </c>
      <c r="E387" s="683" t="s">
        <v>420</v>
      </c>
    </row>
    <row r="388" spans="1:5" x14ac:dyDescent="0.25">
      <c r="A388" s="829" t="s">
        <v>1460</v>
      </c>
      <c r="B388" s="829" t="s">
        <v>1459</v>
      </c>
      <c r="C388" s="829">
        <v>19202101169</v>
      </c>
      <c r="D388" s="829">
        <v>13.03</v>
      </c>
      <c r="E388" s="683" t="s">
        <v>420</v>
      </c>
    </row>
    <row r="389" spans="1:5" x14ac:dyDescent="0.25">
      <c r="A389" s="829" t="s">
        <v>1460</v>
      </c>
      <c r="B389" s="829" t="s">
        <v>1459</v>
      </c>
      <c r="C389" s="829">
        <v>19202101084</v>
      </c>
      <c r="D389" s="829">
        <v>9.8699999999999992</v>
      </c>
      <c r="E389" s="683" t="s">
        <v>420</v>
      </c>
    </row>
    <row r="390" spans="1:5" x14ac:dyDescent="0.25">
      <c r="A390" s="829" t="s">
        <v>1460</v>
      </c>
      <c r="B390" t="s">
        <v>1461</v>
      </c>
      <c r="C390" s="829">
        <v>19202101158</v>
      </c>
      <c r="D390" s="829">
        <v>23.58</v>
      </c>
      <c r="E390" s="820" t="s">
        <v>419</v>
      </c>
    </row>
    <row r="391" spans="1:5" x14ac:dyDescent="0.25">
      <c r="A391" s="829" t="s">
        <v>1460</v>
      </c>
      <c r="B391" s="829" t="s">
        <v>1461</v>
      </c>
      <c r="C391" s="829">
        <v>19202101121</v>
      </c>
      <c r="D391" s="829">
        <v>23.44</v>
      </c>
      <c r="E391" s="820" t="s">
        <v>419</v>
      </c>
    </row>
    <row r="392" spans="1:5" x14ac:dyDescent="0.25">
      <c r="A392" s="829" t="s">
        <v>1460</v>
      </c>
      <c r="B392" s="829" t="s">
        <v>1461</v>
      </c>
      <c r="C392" s="829">
        <v>19202101161</v>
      </c>
      <c r="D392" s="829">
        <v>23.02</v>
      </c>
      <c r="E392" s="820" t="s">
        <v>419</v>
      </c>
    </row>
    <row r="393" spans="1:5" x14ac:dyDescent="0.25">
      <c r="A393" s="829" t="s">
        <v>1460</v>
      </c>
      <c r="B393" s="829" t="s">
        <v>1461</v>
      </c>
      <c r="C393" s="829">
        <v>19202101062</v>
      </c>
      <c r="D393" s="829">
        <v>22.46</v>
      </c>
      <c r="E393" s="820" t="s">
        <v>419</v>
      </c>
    </row>
    <row r="394" spans="1:5" x14ac:dyDescent="0.25">
      <c r="A394" s="829" t="s">
        <v>1460</v>
      </c>
      <c r="B394" s="829" t="s">
        <v>1461</v>
      </c>
      <c r="C394" s="829">
        <v>19202101139</v>
      </c>
      <c r="D394" s="829">
        <v>21.74</v>
      </c>
      <c r="E394" s="820" t="s">
        <v>419</v>
      </c>
    </row>
    <row r="395" spans="1:5" x14ac:dyDescent="0.25">
      <c r="A395" s="829" t="s">
        <v>1460</v>
      </c>
      <c r="B395" s="829" t="s">
        <v>1461</v>
      </c>
      <c r="C395" s="829">
        <v>19202101159</v>
      </c>
      <c r="D395" s="829">
        <v>20.74</v>
      </c>
      <c r="E395" s="820" t="s">
        <v>419</v>
      </c>
    </row>
    <row r="396" spans="1:5" x14ac:dyDescent="0.25">
      <c r="A396" s="829" t="s">
        <v>1460</v>
      </c>
      <c r="B396" s="829" t="s">
        <v>1461</v>
      </c>
      <c r="C396" s="829">
        <v>19202101060</v>
      </c>
      <c r="D396" s="829">
        <v>19.88</v>
      </c>
      <c r="E396" s="820" t="s">
        <v>419</v>
      </c>
    </row>
    <row r="397" spans="1:5" x14ac:dyDescent="0.25">
      <c r="A397" s="829" t="s">
        <v>1460</v>
      </c>
      <c r="B397" s="829" t="s">
        <v>1461</v>
      </c>
      <c r="C397" s="829">
        <v>19202101168</v>
      </c>
      <c r="D397" s="829">
        <v>19.75</v>
      </c>
      <c r="E397" s="820" t="s">
        <v>419</v>
      </c>
    </row>
    <row r="398" spans="1:5" x14ac:dyDescent="0.25">
      <c r="A398" s="829" t="s">
        <v>1460</v>
      </c>
      <c r="B398" s="829" t="s">
        <v>1461</v>
      </c>
      <c r="C398" s="829">
        <v>19202101149</v>
      </c>
      <c r="D398" s="829">
        <v>19.309999999999999</v>
      </c>
      <c r="E398" s="820" t="s">
        <v>419</v>
      </c>
    </row>
    <row r="399" spans="1:5" x14ac:dyDescent="0.25">
      <c r="A399" s="829" t="s">
        <v>1460</v>
      </c>
      <c r="B399" s="829" t="s">
        <v>1461</v>
      </c>
      <c r="C399" s="829">
        <v>19202101123</v>
      </c>
      <c r="D399" s="829">
        <v>18.75</v>
      </c>
      <c r="E399" s="820" t="s">
        <v>419</v>
      </c>
    </row>
    <row r="400" spans="1:5" x14ac:dyDescent="0.25">
      <c r="A400" s="829" t="s">
        <v>1460</v>
      </c>
      <c r="B400" s="829" t="s">
        <v>1461</v>
      </c>
      <c r="C400" s="829">
        <v>19202101162</v>
      </c>
      <c r="D400" s="829">
        <v>18.739999999999998</v>
      </c>
      <c r="E400" s="820" t="s">
        <v>419</v>
      </c>
    </row>
    <row r="401" spans="1:5" x14ac:dyDescent="0.25">
      <c r="A401" s="829" t="s">
        <v>1460</v>
      </c>
      <c r="B401" s="829" t="s">
        <v>1461</v>
      </c>
      <c r="C401" s="829">
        <v>19202101171</v>
      </c>
      <c r="D401" s="829">
        <v>18.329999999999998</v>
      </c>
      <c r="E401" s="820" t="s">
        <v>419</v>
      </c>
    </row>
    <row r="402" spans="1:5" x14ac:dyDescent="0.25">
      <c r="A402" s="829" t="s">
        <v>1460</v>
      </c>
      <c r="B402" s="829" t="s">
        <v>1461</v>
      </c>
      <c r="C402" s="829">
        <v>19202101167</v>
      </c>
      <c r="D402" s="829">
        <v>18.309999999999999</v>
      </c>
      <c r="E402" s="820" t="s">
        <v>419</v>
      </c>
    </row>
    <row r="403" spans="1:5" x14ac:dyDescent="0.25">
      <c r="A403" s="829" t="s">
        <v>1460</v>
      </c>
      <c r="B403" s="829" t="s">
        <v>1461</v>
      </c>
      <c r="C403" s="829">
        <v>19202101181</v>
      </c>
      <c r="D403" s="829">
        <v>17.04</v>
      </c>
      <c r="E403" s="820" t="s">
        <v>419</v>
      </c>
    </row>
    <row r="404" spans="1:5" x14ac:dyDescent="0.25">
      <c r="A404" s="829" t="s">
        <v>1460</v>
      </c>
      <c r="B404" s="829" t="s">
        <v>1461</v>
      </c>
      <c r="C404" s="829">
        <v>19202101189</v>
      </c>
      <c r="D404" s="829">
        <v>16.739999999999998</v>
      </c>
      <c r="E404" s="683" t="s">
        <v>420</v>
      </c>
    </row>
    <row r="405" spans="1:5" x14ac:dyDescent="0.25">
      <c r="A405" s="829" t="s">
        <v>1460</v>
      </c>
      <c r="B405" s="829" t="s">
        <v>1461</v>
      </c>
      <c r="C405" s="829">
        <v>19202101157</v>
      </c>
      <c r="D405" s="829">
        <v>16.170000000000002</v>
      </c>
      <c r="E405" s="683" t="s">
        <v>420</v>
      </c>
    </row>
    <row r="406" spans="1:5" x14ac:dyDescent="0.25">
      <c r="A406" s="829" t="s">
        <v>1460</v>
      </c>
      <c r="B406" s="829" t="s">
        <v>1461</v>
      </c>
      <c r="C406" s="829">
        <v>19202101154</v>
      </c>
      <c r="D406" s="829">
        <v>16.04</v>
      </c>
      <c r="E406" s="683" t="s">
        <v>420</v>
      </c>
    </row>
    <row r="407" spans="1:5" x14ac:dyDescent="0.25">
      <c r="A407" s="829" t="s">
        <v>1460</v>
      </c>
      <c r="B407" s="829" t="s">
        <v>1461</v>
      </c>
      <c r="C407" s="829">
        <v>19202101188</v>
      </c>
      <c r="D407" s="829">
        <v>14.61</v>
      </c>
      <c r="E407" s="820" t="s">
        <v>419</v>
      </c>
    </row>
    <row r="408" spans="1:5" x14ac:dyDescent="0.25">
      <c r="A408" s="829" t="s">
        <v>1460</v>
      </c>
      <c r="B408" s="829" t="s">
        <v>1461</v>
      </c>
      <c r="C408" s="829">
        <v>19202101103</v>
      </c>
      <c r="D408" s="829">
        <v>14.04</v>
      </c>
      <c r="E408" s="683" t="s">
        <v>420</v>
      </c>
    </row>
    <row r="409" spans="1:5" x14ac:dyDescent="0.25">
      <c r="A409" s="829" t="s">
        <v>1460</v>
      </c>
      <c r="B409" s="829" t="s">
        <v>1461</v>
      </c>
      <c r="C409" s="829">
        <v>19202101160</v>
      </c>
      <c r="D409" s="829">
        <v>13.46</v>
      </c>
      <c r="E409" s="683" t="s">
        <v>420</v>
      </c>
    </row>
    <row r="410" spans="1:5" x14ac:dyDescent="0.25">
      <c r="A410" s="829" t="s">
        <v>1460</v>
      </c>
      <c r="B410" s="829" t="s">
        <v>1461</v>
      </c>
      <c r="C410" s="829">
        <v>19202101183</v>
      </c>
      <c r="D410" s="829">
        <v>13.17</v>
      </c>
      <c r="E410" s="683" t="s">
        <v>420</v>
      </c>
    </row>
    <row r="411" spans="1:5" x14ac:dyDescent="0.25">
      <c r="A411" s="829" t="s">
        <v>1460</v>
      </c>
      <c r="B411" s="829" t="s">
        <v>1461</v>
      </c>
      <c r="C411" s="829">
        <v>19202101165</v>
      </c>
      <c r="D411" s="829">
        <v>12.33</v>
      </c>
      <c r="E411" s="683" t="s">
        <v>420</v>
      </c>
    </row>
  </sheetData>
  <mergeCells count="1">
    <mergeCell ref="A1:E1"/>
  </mergeCells>
  <hyperlinks>
    <hyperlink ref="C216" r:id="rId1" location="/router?komponent=taotlus&amp;id=440606&amp;kuva=ava" display="https://pms.arib.pria.ee/pms-menetlus/ - /router?komponent=taotlus&amp;id=440606&amp;kuva=ava"/>
    <hyperlink ref="C217" r:id="rId2" location="/router?komponent=taotlus&amp;id=441677&amp;kuva=ava" display="https://pms.arib.pria.ee/pms-menetlus/ - /router?komponent=taotlus&amp;id=441677&amp;kuva=ava"/>
    <hyperlink ref="C218" r:id="rId3" location="/router?komponent=taotlus&amp;id=441339&amp;kuva=ava" display="https://pms.arib.pria.ee/pms-menetlus/ - /router?komponent=taotlus&amp;id=441339&amp;kuva=ava"/>
    <hyperlink ref="C219" r:id="rId4" location="/router?komponent=taotlus&amp;id=431314&amp;kuva=ava" display="https://pms.arib.pria.ee/pms-menetlus/ - /router?komponent=taotlus&amp;id=431314&amp;kuva=ava"/>
    <hyperlink ref="C220" r:id="rId5" location="/router?komponent=taotlus&amp;id=416708&amp;kuva=ava" display="https://pms.arib.pria.ee/pms-menetlus/ - /router?komponent=taotlus&amp;id=416708&amp;kuva=ava"/>
    <hyperlink ref="C221" r:id="rId6" location="/router?komponent=taotlus&amp;id=420150&amp;kuva=ava" display="https://pms.arib.pria.ee/pms-menetlus/ - /router?komponent=taotlus&amp;id=420150&amp;kuva=ava"/>
    <hyperlink ref="C222" r:id="rId7" location="/router?komponent=taotlus&amp;id=440156&amp;kuva=ava" display="https://pms.arib.pria.ee/pms-menetlus/ - /router?komponent=taotlus&amp;id=440156&amp;kuva=ava"/>
    <hyperlink ref="C223" r:id="rId8" location="/router?komponent=taotlus&amp;id=441676&amp;kuva=ava" display="https://pms.arib.pria.ee/pms-menetlus/ - /router?komponent=taotlus&amp;id=441676&amp;kuva=ava"/>
    <hyperlink ref="C224" r:id="rId9" location="/router?komponent=taotlus&amp;id=439865&amp;kuva=ava" display="https://pms.arib.pria.ee/pms-menetlus/ - /router?komponent=taotlus&amp;id=439865&amp;kuva=ava"/>
    <hyperlink ref="C225" r:id="rId10" location="/router?komponent=taotlus&amp;id=440506&amp;kuva=ava" display="https://pms.arib.pria.ee/pms-menetlus/ - /router?komponent=taotlus&amp;id=440506&amp;kuva=ava"/>
    <hyperlink ref="C226" r:id="rId11" location="/router?komponent=taotlus&amp;id=440400&amp;kuva=ava" display="https://pms.arib.pria.ee/pms-menetlus/ - /router?komponent=taotlus&amp;id=440400&amp;kuva=ava"/>
    <hyperlink ref="C227" r:id="rId12" location="/router?komponent=taotlus&amp;id=440214&amp;kuva=ava" display="https://pms.arib.pria.ee/pms-menetlus/ - /router?komponent=taotlus&amp;id=440214&amp;kuva=ava"/>
    <hyperlink ref="C228" r:id="rId13" location="/router?komponent=taotlus&amp;id=441776&amp;kuva=ava" display="https://pms.arib.pria.ee/pms-menetlus/ - /router?komponent=taotlus&amp;id=441776&amp;kuva=ava"/>
    <hyperlink ref="C229" r:id="rId14" location="/router?komponent=taotlus&amp;id=441639&amp;kuva=ava" display="https://pms.arib.pria.ee/pms-menetlus/ - /router?komponent=taotlus&amp;id=441639&amp;kuva=ava"/>
    <hyperlink ref="C230" r:id="rId15" location="/router?komponent=taotlus&amp;id=441777&amp;kuva=ava" display="https://pms.arib.pria.ee/pms-menetlus/ - /router?komponent=taotlus&amp;id=441777&amp;kuva=ava"/>
    <hyperlink ref="C231" r:id="rId16" location="/router?komponent=taotlus&amp;id=440157&amp;kuva=ava" display="https://pms.arib.pria.ee/pms-menetlus/ - /router?komponent=taotlus&amp;id=440157&amp;kuva=ava"/>
    <hyperlink ref="C232" r:id="rId17" location="/router?komponent=taotlus&amp;id=441189&amp;kuva=ava" display="https://pms.arib.pria.ee/pms-menetlus/ - /router?komponent=taotlus&amp;id=441189&amp;kuva=ava"/>
    <hyperlink ref="C317" r:id="rId18" location="/router?komponent=taotlus&amp;id=1049079&amp;kuva=ava" display="https://pms.arib.pria.ee/pms-menetlus/ - /router?komponent=taotlus&amp;id=1049079&amp;kuva=ava"/>
    <hyperlink ref="C318" r:id="rId19" location="/router?komponent=taotlus&amp;id=1049508&amp;kuva=ava" display="https://pms.arib.pria.ee/pms-menetlus/ - /router?komponent=taotlus&amp;id=1049508&amp;kuva=ava"/>
    <hyperlink ref="C319" r:id="rId20" location="/router?komponent=taotlus&amp;id=1049377&amp;kuva=ava" display="https://pms.arib.pria.ee/pms-menetlus/ - /router?komponent=taotlus&amp;id=1049377&amp;kuva=ava"/>
    <hyperlink ref="C320" r:id="rId21" location="/router?komponent=taotlus&amp;id=1050457&amp;kuva=ava" display="https://pms.arib.pria.ee/pms-menetlus/ - /router?komponent=taotlus&amp;id=1050457&amp;kuva=ava"/>
    <hyperlink ref="C321" r:id="rId22" location="/router?komponent=taotlus&amp;id=1047450&amp;kuva=ava" display="https://pms.arib.pria.ee/pms-menetlus/ - /router?komponent=taotlus&amp;id=1047450&amp;kuva=ava"/>
    <hyperlink ref="C322" r:id="rId23" location="/router?komponent=taotlus&amp;id=1050458&amp;kuva=ava" display="https://pms.arib.pria.ee/pms-menetlus/ - /router?komponent=taotlus&amp;id=1050458&amp;kuva=ava"/>
    <hyperlink ref="C323" r:id="rId24" location="/router?komponent=taotlus&amp;id=1047451&amp;kuva=ava" display="/router?komponent=taotlus&amp;id=1047451&amp;kuva=ava"/>
  </hyperlinks>
  <pageMargins left="0.7" right="0.7" top="0.75" bottom="0.75" header="0.3" footer="0.3"/>
  <pageSetup paperSize="9" orientation="portrait" r:id="rId25"/>
  <legacyDrawing r:id="rId2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workbookViewId="0">
      <pane ySplit="2" topLeftCell="A123" activePane="bottomLeft" state="frozen"/>
      <selection pane="bottomLeft" activeCell="O138" sqref="O138"/>
    </sheetView>
  </sheetViews>
  <sheetFormatPr defaultRowHeight="15" x14ac:dyDescent="0.25"/>
  <cols>
    <col min="1" max="1" width="21.140625" bestFit="1" customWidth="1"/>
    <col min="2" max="2" width="51.7109375" bestFit="1" customWidth="1"/>
    <col min="3" max="3" width="14.140625" customWidth="1"/>
    <col min="4" max="4" width="13.140625" bestFit="1" customWidth="1"/>
    <col min="5" max="5" width="19.140625" customWidth="1"/>
  </cols>
  <sheetData>
    <row r="1" spans="1:5" ht="16.5" thickBot="1" x14ac:dyDescent="0.3">
      <c r="A1" s="855" t="s">
        <v>21</v>
      </c>
      <c r="B1" s="855"/>
      <c r="C1" s="855"/>
      <c r="D1" s="855"/>
      <c r="E1" s="855"/>
    </row>
    <row r="2" spans="1:5" ht="15.75" thickBot="1" x14ac:dyDescent="0.3">
      <c r="A2" s="31" t="s">
        <v>6</v>
      </c>
      <c r="B2" s="32" t="s">
        <v>2</v>
      </c>
      <c r="C2" s="33" t="s">
        <v>0</v>
      </c>
      <c r="D2" s="34" t="s">
        <v>1</v>
      </c>
      <c r="E2" s="192" t="s">
        <v>464</v>
      </c>
    </row>
    <row r="3" spans="1:5" x14ac:dyDescent="0.25">
      <c r="A3" s="156" t="s">
        <v>493</v>
      </c>
      <c r="B3" s="79" t="s">
        <v>494</v>
      </c>
      <c r="C3" s="176" t="str">
        <f>"619216371358"</f>
        <v>619216371358</v>
      </c>
      <c r="D3" s="49">
        <v>85.795000000000002</v>
      </c>
      <c r="E3" s="39" t="s">
        <v>419</v>
      </c>
    </row>
    <row r="4" spans="1:5" x14ac:dyDescent="0.25">
      <c r="A4" s="95" t="s">
        <v>493</v>
      </c>
      <c r="B4" s="75" t="s">
        <v>494</v>
      </c>
      <c r="C4" s="170" t="str">
        <f>"619216371355"</f>
        <v>619216371355</v>
      </c>
      <c r="D4" s="2">
        <v>85.454999999999998</v>
      </c>
      <c r="E4" s="41" t="s">
        <v>419</v>
      </c>
    </row>
    <row r="5" spans="1:5" x14ac:dyDescent="0.25">
      <c r="A5" s="95" t="s">
        <v>493</v>
      </c>
      <c r="B5" s="75" t="s">
        <v>494</v>
      </c>
      <c r="C5" s="170" t="str">
        <f>"619216371354"</f>
        <v>619216371354</v>
      </c>
      <c r="D5" s="2">
        <v>83.977000000000004</v>
      </c>
      <c r="E5" s="41" t="s">
        <v>419</v>
      </c>
    </row>
    <row r="6" spans="1:5" x14ac:dyDescent="0.25">
      <c r="A6" s="95" t="s">
        <v>493</v>
      </c>
      <c r="B6" s="75" t="s">
        <v>494</v>
      </c>
      <c r="C6" s="170" t="str">
        <f>"619216371361"</f>
        <v>619216371361</v>
      </c>
      <c r="D6" s="2">
        <v>82.159000000000006</v>
      </c>
      <c r="E6" s="41" t="s">
        <v>419</v>
      </c>
    </row>
    <row r="7" spans="1:5" x14ac:dyDescent="0.25">
      <c r="A7" s="95" t="s">
        <v>493</v>
      </c>
      <c r="B7" s="75" t="s">
        <v>494</v>
      </c>
      <c r="C7" s="170" t="str">
        <f>"619216371351"</f>
        <v>619216371351</v>
      </c>
      <c r="D7" s="2">
        <v>79.545000000000002</v>
      </c>
      <c r="E7" s="66" t="s">
        <v>420</v>
      </c>
    </row>
    <row r="8" spans="1:5" x14ac:dyDescent="0.25">
      <c r="A8" s="95" t="s">
        <v>493</v>
      </c>
      <c r="B8" s="75" t="s">
        <v>494</v>
      </c>
      <c r="C8" s="170" t="str">
        <f>"619216371352"</f>
        <v>619216371352</v>
      </c>
      <c r="D8" s="2">
        <v>78.182000000000002</v>
      </c>
      <c r="E8" s="66" t="s">
        <v>420</v>
      </c>
    </row>
    <row r="9" spans="1:5" x14ac:dyDescent="0.25">
      <c r="A9" s="95" t="s">
        <v>493</v>
      </c>
      <c r="B9" s="75" t="s">
        <v>494</v>
      </c>
      <c r="C9" s="170" t="str">
        <f>"619216371348"</f>
        <v>619216371348</v>
      </c>
      <c r="D9" s="2">
        <v>77.5</v>
      </c>
      <c r="E9" s="66" t="s">
        <v>420</v>
      </c>
    </row>
    <row r="10" spans="1:5" x14ac:dyDescent="0.25">
      <c r="A10" s="95" t="s">
        <v>493</v>
      </c>
      <c r="B10" s="75" t="s">
        <v>494</v>
      </c>
      <c r="C10" s="170" t="str">
        <f>"619216371346"</f>
        <v>619216371346</v>
      </c>
      <c r="D10" s="2">
        <v>69.772999999999996</v>
      </c>
      <c r="E10" s="66" t="s">
        <v>420</v>
      </c>
    </row>
    <row r="11" spans="1:5" x14ac:dyDescent="0.25">
      <c r="A11" s="95" t="s">
        <v>493</v>
      </c>
      <c r="B11" s="75" t="s">
        <v>494</v>
      </c>
      <c r="C11" s="170" t="str">
        <f>"619216371345"</f>
        <v>619216371345</v>
      </c>
      <c r="D11" s="2">
        <v>62.726999999999997</v>
      </c>
      <c r="E11" s="66" t="s">
        <v>420</v>
      </c>
    </row>
    <row r="12" spans="1:5" x14ac:dyDescent="0.25">
      <c r="A12" s="95" t="s">
        <v>493</v>
      </c>
      <c r="B12" s="75" t="s">
        <v>494</v>
      </c>
      <c r="C12" s="170" t="str">
        <f>"619216371349"</f>
        <v>619216371349</v>
      </c>
      <c r="D12" s="2">
        <v>61.932000000000002</v>
      </c>
      <c r="E12" s="66" t="s">
        <v>420</v>
      </c>
    </row>
    <row r="13" spans="1:5" x14ac:dyDescent="0.25">
      <c r="A13" s="95" t="s">
        <v>493</v>
      </c>
      <c r="B13" s="75" t="s">
        <v>494</v>
      </c>
      <c r="C13" s="170" t="str">
        <f>"619216371350"</f>
        <v>619216371350</v>
      </c>
      <c r="D13" s="2">
        <v>60.341000000000001</v>
      </c>
      <c r="E13" s="66" t="s">
        <v>420</v>
      </c>
    </row>
    <row r="14" spans="1:5" x14ac:dyDescent="0.25">
      <c r="A14" s="95" t="s">
        <v>493</v>
      </c>
      <c r="B14" s="75" t="s">
        <v>494</v>
      </c>
      <c r="C14" s="170" t="str">
        <f>"619216371347"</f>
        <v>619216371347</v>
      </c>
      <c r="D14" s="2">
        <v>51.704999999999998</v>
      </c>
      <c r="E14" s="66" t="s">
        <v>420</v>
      </c>
    </row>
    <row r="15" spans="1:5" x14ac:dyDescent="0.25">
      <c r="A15" s="95" t="s">
        <v>493</v>
      </c>
      <c r="B15" s="25" t="s">
        <v>495</v>
      </c>
      <c r="C15" s="170" t="str">
        <f>"619216371356"</f>
        <v>619216371356</v>
      </c>
      <c r="D15" s="2">
        <v>88.853999999999999</v>
      </c>
      <c r="E15" s="41" t="s">
        <v>419</v>
      </c>
    </row>
    <row r="16" spans="1:5" x14ac:dyDescent="0.25">
      <c r="A16" s="95" t="s">
        <v>493</v>
      </c>
      <c r="B16" s="25" t="s">
        <v>495</v>
      </c>
      <c r="C16" s="170" t="str">
        <f>"619216371360"</f>
        <v>619216371360</v>
      </c>
      <c r="D16" s="2">
        <v>83.438000000000002</v>
      </c>
      <c r="E16" s="41" t="s">
        <v>419</v>
      </c>
    </row>
    <row r="17" spans="1:5" x14ac:dyDescent="0.25">
      <c r="A17" s="95" t="s">
        <v>493</v>
      </c>
      <c r="B17" s="25" t="s">
        <v>495</v>
      </c>
      <c r="C17" s="170" t="str">
        <f>"619216371357"</f>
        <v>619216371357</v>
      </c>
      <c r="D17" s="2">
        <v>79.688000000000002</v>
      </c>
      <c r="E17" s="41" t="s">
        <v>419</v>
      </c>
    </row>
    <row r="18" spans="1:5" x14ac:dyDescent="0.25">
      <c r="A18" s="95" t="s">
        <v>493</v>
      </c>
      <c r="B18" s="25" t="s">
        <v>496</v>
      </c>
      <c r="C18" s="170" t="str">
        <f>"619216371353"</f>
        <v>619216371353</v>
      </c>
      <c r="D18" s="2">
        <v>83.957999999999998</v>
      </c>
      <c r="E18" s="41" t="s">
        <v>419</v>
      </c>
    </row>
    <row r="19" spans="1:5" ht="15.75" thickBot="1" x14ac:dyDescent="0.3">
      <c r="A19" s="96" t="s">
        <v>493</v>
      </c>
      <c r="B19" s="88" t="s">
        <v>496</v>
      </c>
      <c r="C19" s="177" t="str">
        <f>"619216371359"</f>
        <v>619216371359</v>
      </c>
      <c r="D19" s="51">
        <v>71.042000000000002</v>
      </c>
      <c r="E19" s="87" t="s">
        <v>419</v>
      </c>
    </row>
    <row r="20" spans="1:5" x14ac:dyDescent="0.25">
      <c r="A20" s="86" t="s">
        <v>913</v>
      </c>
      <c r="B20" s="86" t="s">
        <v>914</v>
      </c>
      <c r="C20" s="86" t="s">
        <v>915</v>
      </c>
      <c r="D20" s="86">
        <v>70.364000000000004</v>
      </c>
      <c r="E20" s="41" t="s">
        <v>419</v>
      </c>
    </row>
    <row r="21" spans="1:5" x14ac:dyDescent="0.25">
      <c r="A21" s="2" t="s">
        <v>913</v>
      </c>
      <c r="B21" s="2" t="s">
        <v>914</v>
      </c>
      <c r="C21" s="2" t="s">
        <v>916</v>
      </c>
      <c r="D21" s="2">
        <v>64.817999999999998</v>
      </c>
      <c r="E21" s="66" t="s">
        <v>420</v>
      </c>
    </row>
    <row r="22" spans="1:5" x14ac:dyDescent="0.25">
      <c r="A22" s="2" t="s">
        <v>913</v>
      </c>
      <c r="B22" s="2" t="s">
        <v>914</v>
      </c>
      <c r="C22" s="2" t="s">
        <v>917</v>
      </c>
      <c r="D22" s="2">
        <v>64.727000000000004</v>
      </c>
      <c r="E22" s="66" t="s">
        <v>420</v>
      </c>
    </row>
    <row r="23" spans="1:5" x14ac:dyDescent="0.25">
      <c r="A23" s="559" t="s">
        <v>913</v>
      </c>
      <c r="B23" s="559" t="s">
        <v>914</v>
      </c>
      <c r="C23" s="179" t="s">
        <v>918</v>
      </c>
      <c r="D23" s="179">
        <v>61.817999999999998</v>
      </c>
      <c r="E23" s="119" t="s">
        <v>420</v>
      </c>
    </row>
    <row r="24" spans="1:5" x14ac:dyDescent="0.25">
      <c r="A24" s="560" t="s">
        <v>1068</v>
      </c>
      <c r="B24" s="2" t="s">
        <v>494</v>
      </c>
      <c r="C24" s="2" t="str">
        <f>"619217373104"</f>
        <v>619217373104</v>
      </c>
      <c r="D24" s="2">
        <v>78.25</v>
      </c>
      <c r="E24" s="225" t="s">
        <v>419</v>
      </c>
    </row>
    <row r="25" spans="1:5" x14ac:dyDescent="0.25">
      <c r="A25" s="560" t="s">
        <v>1068</v>
      </c>
      <c r="B25" s="2" t="s">
        <v>494</v>
      </c>
      <c r="C25" s="2" t="str">
        <f>"619217373096"</f>
        <v>619217373096</v>
      </c>
      <c r="D25" s="2">
        <v>84.667000000000002</v>
      </c>
      <c r="E25" s="225" t="s">
        <v>419</v>
      </c>
    </row>
    <row r="26" spans="1:5" x14ac:dyDescent="0.25">
      <c r="A26" s="560" t="s">
        <v>1068</v>
      </c>
      <c r="B26" s="2" t="s">
        <v>494</v>
      </c>
      <c r="C26" s="2" t="str">
        <f>"619217373091"</f>
        <v>619217373091</v>
      </c>
      <c r="D26" s="2">
        <v>84.882999999999996</v>
      </c>
      <c r="E26" s="225" t="s">
        <v>419</v>
      </c>
    </row>
    <row r="27" spans="1:5" x14ac:dyDescent="0.25">
      <c r="A27" s="560" t="s">
        <v>1068</v>
      </c>
      <c r="B27" s="2" t="s">
        <v>494</v>
      </c>
      <c r="C27" s="2" t="str">
        <f>"619217373098"</f>
        <v>619217373098</v>
      </c>
      <c r="D27" s="2">
        <v>85</v>
      </c>
      <c r="E27" s="225" t="s">
        <v>419</v>
      </c>
    </row>
    <row r="28" spans="1:5" x14ac:dyDescent="0.25">
      <c r="A28" s="560" t="s">
        <v>1068</v>
      </c>
      <c r="B28" s="2" t="s">
        <v>494</v>
      </c>
      <c r="C28" s="2" t="str">
        <f>"619217373097"</f>
        <v>619217373097</v>
      </c>
      <c r="D28" s="2">
        <v>85.582999999999998</v>
      </c>
      <c r="E28" s="225" t="s">
        <v>419</v>
      </c>
    </row>
    <row r="29" spans="1:5" x14ac:dyDescent="0.25">
      <c r="A29" s="560" t="s">
        <v>1068</v>
      </c>
      <c r="B29" s="2" t="s">
        <v>494</v>
      </c>
      <c r="C29" s="2" t="str">
        <f>"619217373103"</f>
        <v>619217373103</v>
      </c>
      <c r="D29" s="2">
        <v>85.667000000000002</v>
      </c>
      <c r="E29" s="225" t="s">
        <v>419</v>
      </c>
    </row>
    <row r="30" spans="1:5" x14ac:dyDescent="0.25">
      <c r="A30" s="560" t="s">
        <v>1068</v>
      </c>
      <c r="B30" s="2" t="s">
        <v>494</v>
      </c>
      <c r="C30" s="2" t="str">
        <f>"619217373089"</f>
        <v>619217373089</v>
      </c>
      <c r="D30" s="2">
        <v>85.667000000000002</v>
      </c>
      <c r="E30" s="225" t="s">
        <v>419</v>
      </c>
    </row>
    <row r="31" spans="1:5" x14ac:dyDescent="0.25">
      <c r="A31" s="560" t="s">
        <v>1068</v>
      </c>
      <c r="B31" s="2" t="s">
        <v>494</v>
      </c>
      <c r="C31" s="2" t="str">
        <f>"619217373107"</f>
        <v>619217373107</v>
      </c>
      <c r="D31" s="2">
        <v>70</v>
      </c>
      <c r="E31" s="226" t="s">
        <v>420</v>
      </c>
    </row>
    <row r="32" spans="1:5" x14ac:dyDescent="0.25">
      <c r="A32" s="560" t="s">
        <v>1068</v>
      </c>
      <c r="B32" s="2" t="s">
        <v>494</v>
      </c>
      <c r="C32" s="2" t="str">
        <f>"619217373105"</f>
        <v>619217373105</v>
      </c>
      <c r="D32" s="2">
        <v>69.417000000000002</v>
      </c>
      <c r="E32" s="226" t="s">
        <v>420</v>
      </c>
    </row>
    <row r="33" spans="1:5" x14ac:dyDescent="0.25">
      <c r="A33" s="560" t="s">
        <v>1068</v>
      </c>
      <c r="B33" s="2" t="s">
        <v>494</v>
      </c>
      <c r="C33" s="2" t="str">
        <f>"619217373106"</f>
        <v>619217373106</v>
      </c>
      <c r="D33" s="2">
        <v>74.082999999999998</v>
      </c>
      <c r="E33" s="226" t="s">
        <v>420</v>
      </c>
    </row>
    <row r="34" spans="1:5" x14ac:dyDescent="0.25">
      <c r="A34" s="560" t="s">
        <v>1068</v>
      </c>
      <c r="B34" s="26" t="s">
        <v>495</v>
      </c>
      <c r="C34" s="2" t="str">
        <f>"619217373094"</f>
        <v>619217373094</v>
      </c>
      <c r="D34" s="2">
        <v>82.332999999999998</v>
      </c>
      <c r="E34" s="225" t="s">
        <v>419</v>
      </c>
    </row>
    <row r="35" spans="1:5" x14ac:dyDescent="0.25">
      <c r="A35" s="560" t="s">
        <v>1068</v>
      </c>
      <c r="B35" s="26" t="s">
        <v>495</v>
      </c>
      <c r="C35" s="2" t="str">
        <f>"619217373099"</f>
        <v>619217373099</v>
      </c>
      <c r="D35" s="2">
        <v>79.66</v>
      </c>
      <c r="E35" s="225" t="s">
        <v>419</v>
      </c>
    </row>
    <row r="36" spans="1:5" x14ac:dyDescent="0.25">
      <c r="A36" s="560" t="s">
        <v>1068</v>
      </c>
      <c r="B36" s="26" t="s">
        <v>495</v>
      </c>
      <c r="C36" s="2" t="str">
        <f>"619217373102"</f>
        <v>619217373102</v>
      </c>
      <c r="D36" s="2">
        <v>79.5</v>
      </c>
      <c r="E36" s="225" t="s">
        <v>419</v>
      </c>
    </row>
    <row r="37" spans="1:5" x14ac:dyDescent="0.25">
      <c r="A37" s="561" t="s">
        <v>1068</v>
      </c>
      <c r="B37" s="375" t="s">
        <v>495</v>
      </c>
      <c r="C37" s="179" t="str">
        <f>"619217373093"</f>
        <v>619217373093</v>
      </c>
      <c r="D37" s="179">
        <v>66.55</v>
      </c>
      <c r="E37" s="366" t="s">
        <v>419</v>
      </c>
    </row>
    <row r="38" spans="1:5" x14ac:dyDescent="0.25">
      <c r="A38" s="560" t="s">
        <v>1068</v>
      </c>
      <c r="B38" s="26" t="s">
        <v>496</v>
      </c>
      <c r="C38" s="2" t="str">
        <f>"619217373088"</f>
        <v>619217373088</v>
      </c>
      <c r="D38" s="2">
        <v>85.332999999999998</v>
      </c>
      <c r="E38" s="225" t="s">
        <v>419</v>
      </c>
    </row>
    <row r="39" spans="1:5" x14ac:dyDescent="0.25">
      <c r="A39" s="560" t="s">
        <v>1068</v>
      </c>
      <c r="B39" s="26" t="s">
        <v>496</v>
      </c>
      <c r="C39" s="2" t="str">
        <f>"619217373090"</f>
        <v>619217373090</v>
      </c>
      <c r="D39" s="2">
        <v>78.25</v>
      </c>
      <c r="E39" s="225" t="s">
        <v>419</v>
      </c>
    </row>
    <row r="40" spans="1:5" x14ac:dyDescent="0.25">
      <c r="A40" s="560" t="s">
        <v>1068</v>
      </c>
      <c r="B40" s="26" t="s">
        <v>496</v>
      </c>
      <c r="C40" s="2" t="str">
        <f>"619217373095"</f>
        <v>619217373095</v>
      </c>
      <c r="D40" s="2">
        <v>77.417000000000002</v>
      </c>
      <c r="E40" s="225" t="s">
        <v>419</v>
      </c>
    </row>
    <row r="41" spans="1:5" x14ac:dyDescent="0.25">
      <c r="A41" s="560" t="s">
        <v>1068</v>
      </c>
      <c r="B41" s="26" t="s">
        <v>496</v>
      </c>
      <c r="C41" s="2" t="str">
        <f>"619217373092"</f>
        <v>619217373092</v>
      </c>
      <c r="D41" s="2">
        <v>72.332999999999998</v>
      </c>
      <c r="E41" s="225" t="s">
        <v>419</v>
      </c>
    </row>
    <row r="42" spans="1:5" x14ac:dyDescent="0.25">
      <c r="A42" s="560" t="s">
        <v>1068</v>
      </c>
      <c r="B42" s="26" t="s">
        <v>496</v>
      </c>
      <c r="C42" s="2" t="str">
        <f>"619217373101"</f>
        <v>619217373101</v>
      </c>
      <c r="D42" s="2">
        <v>69.082999999999998</v>
      </c>
      <c r="E42" s="225" t="s">
        <v>419</v>
      </c>
    </row>
    <row r="43" spans="1:5" x14ac:dyDescent="0.25">
      <c r="A43" s="560" t="s">
        <v>1068</v>
      </c>
      <c r="B43" s="26" t="s">
        <v>496</v>
      </c>
      <c r="C43" s="2" t="str">
        <f>"619217373100"</f>
        <v>619217373100</v>
      </c>
      <c r="D43" s="2">
        <v>66</v>
      </c>
      <c r="E43" s="225" t="s">
        <v>419</v>
      </c>
    </row>
    <row r="44" spans="1:5" x14ac:dyDescent="0.25">
      <c r="A44" s="560" t="s">
        <v>1068</v>
      </c>
      <c r="B44" s="26" t="s">
        <v>496</v>
      </c>
      <c r="C44" s="2" t="str">
        <f>"619217373109"</f>
        <v>619217373109</v>
      </c>
      <c r="D44" s="2">
        <v>61.667000000000002</v>
      </c>
      <c r="E44" s="226" t="s">
        <v>420</v>
      </c>
    </row>
    <row r="45" spans="1:5" x14ac:dyDescent="0.25">
      <c r="A45" s="560" t="s">
        <v>1068</v>
      </c>
      <c r="B45" s="26" t="s">
        <v>496</v>
      </c>
      <c r="C45" s="2" t="str">
        <f>"619217373108"</f>
        <v>619217373108</v>
      </c>
      <c r="D45" s="2">
        <v>62.917000000000002</v>
      </c>
      <c r="E45" s="226" t="s">
        <v>420</v>
      </c>
    </row>
    <row r="46" spans="1:5" x14ac:dyDescent="0.25">
      <c r="A46" s="608" t="s">
        <v>1106</v>
      </c>
      <c r="B46" s="2" t="s">
        <v>914</v>
      </c>
      <c r="C46" s="2">
        <v>19201800176</v>
      </c>
      <c r="D46" s="2">
        <v>5.12</v>
      </c>
      <c r="E46" s="225" t="s">
        <v>419</v>
      </c>
    </row>
    <row r="47" spans="1:5" x14ac:dyDescent="0.25">
      <c r="A47" s="608" t="s">
        <v>1106</v>
      </c>
      <c r="B47" s="2" t="s">
        <v>914</v>
      </c>
      <c r="C47" s="2">
        <v>19201800177</v>
      </c>
      <c r="D47" s="2">
        <v>5.03</v>
      </c>
      <c r="E47" s="225" t="s">
        <v>419</v>
      </c>
    </row>
    <row r="48" spans="1:5" x14ac:dyDescent="0.25">
      <c r="A48" s="608" t="s">
        <v>1106</v>
      </c>
      <c r="B48" s="2" t="s">
        <v>914</v>
      </c>
      <c r="C48" s="2">
        <v>19201800178</v>
      </c>
      <c r="D48" s="2">
        <v>4.68</v>
      </c>
      <c r="E48" s="225" t="s">
        <v>419</v>
      </c>
    </row>
    <row r="49" spans="1:5" x14ac:dyDescent="0.25">
      <c r="A49" s="608" t="s">
        <v>1148</v>
      </c>
      <c r="B49" s="26" t="s">
        <v>495</v>
      </c>
      <c r="C49" s="2">
        <v>19201800845</v>
      </c>
      <c r="D49" s="2">
        <v>3.39</v>
      </c>
      <c r="E49" s="225" t="s">
        <v>419</v>
      </c>
    </row>
    <row r="50" spans="1:5" x14ac:dyDescent="0.25">
      <c r="A50" s="608" t="s">
        <v>1148</v>
      </c>
      <c r="B50" s="26" t="s">
        <v>495</v>
      </c>
      <c r="C50" s="2">
        <v>19201800853</v>
      </c>
      <c r="D50" s="2">
        <v>3.38</v>
      </c>
      <c r="E50" s="225" t="s">
        <v>419</v>
      </c>
    </row>
    <row r="51" spans="1:5" x14ac:dyDescent="0.25">
      <c r="A51" s="608" t="s">
        <v>1148</v>
      </c>
      <c r="B51" s="26" t="s">
        <v>495</v>
      </c>
      <c r="C51" s="2">
        <v>19201800837</v>
      </c>
      <c r="D51" s="2">
        <v>3.33</v>
      </c>
      <c r="E51" s="225" t="s">
        <v>419</v>
      </c>
    </row>
    <row r="52" spans="1:5" x14ac:dyDescent="0.25">
      <c r="A52" s="608" t="s">
        <v>1148</v>
      </c>
      <c r="B52" s="26" t="s">
        <v>495</v>
      </c>
      <c r="C52" s="2">
        <v>19201800842</v>
      </c>
      <c r="D52" s="2">
        <v>3.24</v>
      </c>
      <c r="E52" s="225" t="s">
        <v>419</v>
      </c>
    </row>
    <row r="53" spans="1:5" x14ac:dyDescent="0.25">
      <c r="A53" s="608" t="s">
        <v>1148</v>
      </c>
      <c r="B53" s="26" t="s">
        <v>495</v>
      </c>
      <c r="C53" s="2">
        <v>19201800841</v>
      </c>
      <c r="D53" s="2">
        <v>3.22</v>
      </c>
      <c r="E53" s="225" t="s">
        <v>419</v>
      </c>
    </row>
    <row r="54" spans="1:5" x14ac:dyDescent="0.25">
      <c r="A54" s="608" t="s">
        <v>1148</v>
      </c>
      <c r="B54" s="26" t="s">
        <v>495</v>
      </c>
      <c r="C54" s="2">
        <v>19201800838</v>
      </c>
      <c r="D54" s="2">
        <v>3.2</v>
      </c>
      <c r="E54" s="225" t="s">
        <v>419</v>
      </c>
    </row>
    <row r="55" spans="1:5" x14ac:dyDescent="0.25">
      <c r="A55" s="608" t="s">
        <v>1148</v>
      </c>
      <c r="B55" s="26" t="s">
        <v>495</v>
      </c>
      <c r="C55" s="2">
        <v>19201800850</v>
      </c>
      <c r="D55" s="2">
        <v>3.15</v>
      </c>
      <c r="E55" s="225" t="s">
        <v>419</v>
      </c>
    </row>
    <row r="56" spans="1:5" x14ac:dyDescent="0.25">
      <c r="A56" s="608" t="s">
        <v>1148</v>
      </c>
      <c r="B56" s="26" t="s">
        <v>495</v>
      </c>
      <c r="C56" s="2">
        <v>19201800849</v>
      </c>
      <c r="D56" s="2">
        <v>3.1</v>
      </c>
      <c r="E56" s="225" t="s">
        <v>419</v>
      </c>
    </row>
    <row r="57" spans="1:5" x14ac:dyDescent="0.25">
      <c r="A57" s="608" t="s">
        <v>1148</v>
      </c>
      <c r="B57" s="26" t="s">
        <v>495</v>
      </c>
      <c r="C57" s="2">
        <v>19201800854</v>
      </c>
      <c r="D57" s="2">
        <v>3.06</v>
      </c>
      <c r="E57" s="225" t="s">
        <v>419</v>
      </c>
    </row>
    <row r="58" spans="1:5" x14ac:dyDescent="0.25">
      <c r="A58" s="608" t="s">
        <v>1148</v>
      </c>
      <c r="B58" s="26" t="s">
        <v>495</v>
      </c>
      <c r="C58" s="2">
        <v>19201800990</v>
      </c>
      <c r="D58" s="2">
        <v>3.03</v>
      </c>
      <c r="E58" s="225" t="s">
        <v>419</v>
      </c>
    </row>
    <row r="59" spans="1:5" x14ac:dyDescent="0.25">
      <c r="A59" s="608" t="s">
        <v>1148</v>
      </c>
      <c r="B59" s="26" t="s">
        <v>496</v>
      </c>
      <c r="C59" s="2">
        <v>19201800847</v>
      </c>
      <c r="D59" s="2">
        <v>3.61</v>
      </c>
      <c r="E59" s="225" t="s">
        <v>419</v>
      </c>
    </row>
    <row r="60" spans="1:5" x14ac:dyDescent="0.25">
      <c r="A60" s="608" t="s">
        <v>1148</v>
      </c>
      <c r="B60" s="26" t="s">
        <v>496</v>
      </c>
      <c r="C60" s="2">
        <v>19201800851</v>
      </c>
      <c r="D60" s="2">
        <v>3.5</v>
      </c>
      <c r="E60" s="225" t="s">
        <v>419</v>
      </c>
    </row>
    <row r="61" spans="1:5" x14ac:dyDescent="0.25">
      <c r="A61" s="608" t="s">
        <v>1148</v>
      </c>
      <c r="B61" s="26" t="s">
        <v>496</v>
      </c>
      <c r="C61" s="2">
        <v>19201800848</v>
      </c>
      <c r="D61" s="2">
        <v>3.1</v>
      </c>
      <c r="E61" s="225" t="s">
        <v>419</v>
      </c>
    </row>
    <row r="62" spans="1:5" x14ac:dyDescent="0.25">
      <c r="A62" s="608" t="s">
        <v>1148</v>
      </c>
      <c r="B62" s="26" t="s">
        <v>496</v>
      </c>
      <c r="C62" s="2">
        <v>19201800855</v>
      </c>
      <c r="D62" s="2">
        <v>3.07</v>
      </c>
      <c r="E62" s="225" t="s">
        <v>419</v>
      </c>
    </row>
    <row r="63" spans="1:5" x14ac:dyDescent="0.25">
      <c r="A63" s="608" t="s">
        <v>1148</v>
      </c>
      <c r="B63" s="26" t="s">
        <v>496</v>
      </c>
      <c r="C63" s="2">
        <v>19201800843</v>
      </c>
      <c r="D63" s="2">
        <v>2.96</v>
      </c>
      <c r="E63" s="226" t="s">
        <v>420</v>
      </c>
    </row>
    <row r="64" spans="1:5" x14ac:dyDescent="0.25">
      <c r="A64" s="608" t="s">
        <v>1148</v>
      </c>
      <c r="B64" s="26" t="s">
        <v>496</v>
      </c>
      <c r="C64" s="2">
        <v>19201800839</v>
      </c>
      <c r="D64" s="2">
        <v>2.81</v>
      </c>
      <c r="E64" s="226" t="s">
        <v>420</v>
      </c>
    </row>
    <row r="65" spans="1:5" x14ac:dyDescent="0.25">
      <c r="A65" s="608" t="s">
        <v>1148</v>
      </c>
      <c r="B65" s="26" t="s">
        <v>496</v>
      </c>
      <c r="C65" s="2">
        <v>19201800846</v>
      </c>
      <c r="D65" s="2">
        <v>2.68</v>
      </c>
      <c r="E65" s="226" t="s">
        <v>420</v>
      </c>
    </row>
    <row r="66" spans="1:5" x14ac:dyDescent="0.25">
      <c r="A66" s="608" t="s">
        <v>1207</v>
      </c>
      <c r="B66" s="655" t="s">
        <v>495</v>
      </c>
      <c r="C66" s="715">
        <v>19201900727</v>
      </c>
      <c r="D66" s="695">
        <v>3.46</v>
      </c>
      <c r="E66" s="699" t="s">
        <v>419</v>
      </c>
    </row>
    <row r="67" spans="1:5" x14ac:dyDescent="0.25">
      <c r="A67" s="608" t="s">
        <v>1207</v>
      </c>
      <c r="B67" s="655" t="s">
        <v>495</v>
      </c>
      <c r="C67" s="715">
        <v>19201900726</v>
      </c>
      <c r="D67" s="695">
        <v>3.38</v>
      </c>
      <c r="E67" s="699" t="s">
        <v>419</v>
      </c>
    </row>
    <row r="68" spans="1:5" x14ac:dyDescent="0.25">
      <c r="A68" s="608" t="s">
        <v>1207</v>
      </c>
      <c r="B68" s="655" t="s">
        <v>495</v>
      </c>
      <c r="C68" s="715">
        <v>19201900718</v>
      </c>
      <c r="D68" s="695">
        <v>3.11</v>
      </c>
      <c r="E68" s="699" t="s">
        <v>419</v>
      </c>
    </row>
    <row r="69" spans="1:5" x14ac:dyDescent="0.25">
      <c r="A69" s="608" t="s">
        <v>1207</v>
      </c>
      <c r="B69" s="655" t="s">
        <v>495</v>
      </c>
      <c r="C69" s="715">
        <v>19201900724</v>
      </c>
      <c r="D69" s="695">
        <v>3.11</v>
      </c>
      <c r="E69" s="699" t="s">
        <v>419</v>
      </c>
    </row>
    <row r="70" spans="1:5" x14ac:dyDescent="0.25">
      <c r="A70" s="608" t="s">
        <v>1207</v>
      </c>
      <c r="B70" s="655" t="s">
        <v>495</v>
      </c>
      <c r="C70" s="715">
        <v>19201900728</v>
      </c>
      <c r="D70" s="695">
        <v>3.06</v>
      </c>
      <c r="E70" s="699" t="s">
        <v>419</v>
      </c>
    </row>
    <row r="71" spans="1:5" x14ac:dyDescent="0.25">
      <c r="A71" s="608" t="s">
        <v>1207</v>
      </c>
      <c r="B71" s="26" t="s">
        <v>496</v>
      </c>
      <c r="C71" s="715">
        <v>19201900719</v>
      </c>
      <c r="D71" s="619">
        <v>3.25</v>
      </c>
      <c r="E71" s="699" t="s">
        <v>419</v>
      </c>
    </row>
    <row r="72" spans="1:5" x14ac:dyDescent="0.25">
      <c r="A72" s="608" t="s">
        <v>1207</v>
      </c>
      <c r="B72" s="26" t="s">
        <v>496</v>
      </c>
      <c r="C72" s="715">
        <v>19201900721</v>
      </c>
      <c r="D72" s="619">
        <v>3.24</v>
      </c>
      <c r="E72" s="699" t="s">
        <v>419</v>
      </c>
    </row>
    <row r="73" spans="1:5" x14ac:dyDescent="0.25">
      <c r="A73" s="608" t="s">
        <v>1207</v>
      </c>
      <c r="B73" s="26" t="s">
        <v>496</v>
      </c>
      <c r="C73" s="715">
        <v>19201900722</v>
      </c>
      <c r="D73" s="619">
        <v>3.15</v>
      </c>
      <c r="E73" s="699" t="s">
        <v>419</v>
      </c>
    </row>
    <row r="74" spans="1:5" x14ac:dyDescent="0.25">
      <c r="A74" s="608" t="s">
        <v>1207</v>
      </c>
      <c r="B74" s="26" t="s">
        <v>496</v>
      </c>
      <c r="C74" s="715">
        <v>19201900725</v>
      </c>
      <c r="D74" s="619">
        <v>2.79</v>
      </c>
      <c r="E74" s="699" t="s">
        <v>419</v>
      </c>
    </row>
    <row r="75" spans="1:5" x14ac:dyDescent="0.25">
      <c r="A75" s="608" t="s">
        <v>1207</v>
      </c>
      <c r="B75" s="26" t="s">
        <v>496</v>
      </c>
      <c r="C75" s="715">
        <v>19201900731</v>
      </c>
      <c r="D75" s="619">
        <v>2.78</v>
      </c>
      <c r="E75" s="699" t="s">
        <v>419</v>
      </c>
    </row>
    <row r="76" spans="1:5" x14ac:dyDescent="0.25">
      <c r="A76" s="608" t="s">
        <v>1207</v>
      </c>
      <c r="B76" s="26" t="s">
        <v>496</v>
      </c>
      <c r="C76" s="715">
        <v>19201900723</v>
      </c>
      <c r="D76" s="619">
        <v>2.76</v>
      </c>
      <c r="E76" s="699" t="s">
        <v>419</v>
      </c>
    </row>
    <row r="77" spans="1:5" x14ac:dyDescent="0.25">
      <c r="A77" s="608" t="s">
        <v>1207</v>
      </c>
      <c r="B77" s="26" t="s">
        <v>496</v>
      </c>
      <c r="C77" s="715">
        <v>19201900720</v>
      </c>
      <c r="D77" s="619">
        <v>2.6</v>
      </c>
      <c r="E77" s="699" t="s">
        <v>419</v>
      </c>
    </row>
    <row r="78" spans="1:5" x14ac:dyDescent="0.25">
      <c r="A78" s="2" t="s">
        <v>1251</v>
      </c>
      <c r="B78" s="2" t="s">
        <v>494</v>
      </c>
      <c r="C78" s="2">
        <v>19202000523</v>
      </c>
      <c r="D78" s="2">
        <v>3.56</v>
      </c>
      <c r="E78" s="699" t="s">
        <v>419</v>
      </c>
    </row>
    <row r="79" spans="1:5" x14ac:dyDescent="0.25">
      <c r="A79" s="2" t="s">
        <v>1251</v>
      </c>
      <c r="B79" s="2" t="s">
        <v>494</v>
      </c>
      <c r="C79" s="2">
        <v>19202000518</v>
      </c>
      <c r="D79" s="2">
        <v>3.51</v>
      </c>
      <c r="E79" s="699" t="s">
        <v>419</v>
      </c>
    </row>
    <row r="80" spans="1:5" x14ac:dyDescent="0.25">
      <c r="A80" s="2" t="s">
        <v>1251</v>
      </c>
      <c r="B80" s="2" t="s">
        <v>494</v>
      </c>
      <c r="C80" s="2">
        <v>19202000514</v>
      </c>
      <c r="D80" s="2">
        <v>3.5</v>
      </c>
      <c r="E80" s="699" t="s">
        <v>419</v>
      </c>
    </row>
    <row r="81" spans="1:5" x14ac:dyDescent="0.25">
      <c r="A81" s="2" t="s">
        <v>1251</v>
      </c>
      <c r="B81" s="2" t="s">
        <v>494</v>
      </c>
      <c r="C81" s="2">
        <v>19202000528</v>
      </c>
      <c r="D81" s="2">
        <v>3.49</v>
      </c>
      <c r="E81" s="699" t="s">
        <v>419</v>
      </c>
    </row>
    <row r="82" spans="1:5" x14ac:dyDescent="0.25">
      <c r="A82" s="2" t="s">
        <v>1251</v>
      </c>
      <c r="B82" s="2" t="s">
        <v>494</v>
      </c>
      <c r="C82" s="2">
        <v>19202000522</v>
      </c>
      <c r="D82" s="2">
        <v>3.43</v>
      </c>
      <c r="E82" s="699" t="s">
        <v>419</v>
      </c>
    </row>
    <row r="83" spans="1:5" x14ac:dyDescent="0.25">
      <c r="A83" s="2" t="s">
        <v>1251</v>
      </c>
      <c r="B83" s="2" t="s">
        <v>494</v>
      </c>
      <c r="C83" s="2">
        <v>19202000517</v>
      </c>
      <c r="D83" s="2">
        <v>3.42</v>
      </c>
      <c r="E83" s="699" t="s">
        <v>419</v>
      </c>
    </row>
    <row r="84" spans="1:5" x14ac:dyDescent="0.25">
      <c r="A84" s="2" t="s">
        <v>1251</v>
      </c>
      <c r="B84" s="2" t="s">
        <v>494</v>
      </c>
      <c r="C84" s="2">
        <v>19202000527</v>
      </c>
      <c r="D84" s="2">
        <v>3.39</v>
      </c>
      <c r="E84" s="699" t="s">
        <v>419</v>
      </c>
    </row>
    <row r="85" spans="1:5" x14ac:dyDescent="0.25">
      <c r="A85" s="2" t="s">
        <v>1251</v>
      </c>
      <c r="B85" s="2" t="s">
        <v>494</v>
      </c>
      <c r="C85" s="2">
        <v>19202000520</v>
      </c>
      <c r="D85" s="2">
        <v>3.03</v>
      </c>
      <c r="E85" s="699" t="s">
        <v>419</v>
      </c>
    </row>
    <row r="86" spans="1:5" x14ac:dyDescent="0.25">
      <c r="A86" s="2" t="s">
        <v>1251</v>
      </c>
      <c r="B86" s="2" t="s">
        <v>494</v>
      </c>
      <c r="C86" s="2">
        <v>19202000521</v>
      </c>
      <c r="D86" s="2">
        <v>2.92</v>
      </c>
      <c r="E86" s="699" t="s">
        <v>419</v>
      </c>
    </row>
    <row r="87" spans="1:5" x14ac:dyDescent="0.25">
      <c r="A87" s="2" t="s">
        <v>1251</v>
      </c>
      <c r="B87" s="2" t="s">
        <v>494</v>
      </c>
      <c r="C87" s="2">
        <v>19202000497</v>
      </c>
      <c r="D87" s="2">
        <v>2.83</v>
      </c>
      <c r="E87" s="699" t="s">
        <v>419</v>
      </c>
    </row>
    <row r="88" spans="1:5" x14ac:dyDescent="0.25">
      <c r="A88" s="2" t="s">
        <v>1251</v>
      </c>
      <c r="B88" s="2" t="s">
        <v>494</v>
      </c>
      <c r="C88" s="2">
        <v>19202000515</v>
      </c>
      <c r="D88" s="2">
        <v>2.76</v>
      </c>
      <c r="E88" s="699" t="s">
        <v>419</v>
      </c>
    </row>
    <row r="89" spans="1:5" x14ac:dyDescent="0.25">
      <c r="A89" s="2" t="s">
        <v>1251</v>
      </c>
      <c r="B89" s="2" t="s">
        <v>494</v>
      </c>
      <c r="C89" s="2">
        <v>19202000519</v>
      </c>
      <c r="D89" s="2">
        <v>2.66</v>
      </c>
      <c r="E89" s="699" t="s">
        <v>419</v>
      </c>
    </row>
    <row r="90" spans="1:5" x14ac:dyDescent="0.25">
      <c r="A90" s="2" t="s">
        <v>1251</v>
      </c>
      <c r="B90" s="2" t="s">
        <v>494</v>
      </c>
      <c r="C90" s="2">
        <v>19202000524</v>
      </c>
      <c r="D90" s="2">
        <v>2.6</v>
      </c>
      <c r="E90" s="699" t="s">
        <v>419</v>
      </c>
    </row>
    <row r="91" spans="1:5" x14ac:dyDescent="0.25">
      <c r="A91" s="2" t="s">
        <v>1251</v>
      </c>
      <c r="B91" s="2" t="s">
        <v>494</v>
      </c>
      <c r="C91" s="2">
        <v>19202000526</v>
      </c>
      <c r="D91" s="2">
        <v>2.41</v>
      </c>
      <c r="E91" s="226" t="s">
        <v>420</v>
      </c>
    </row>
    <row r="92" spans="1:5" x14ac:dyDescent="0.25">
      <c r="A92" s="2" t="s">
        <v>1327</v>
      </c>
      <c r="B92" s="2" t="s">
        <v>1328</v>
      </c>
      <c r="C92" s="2">
        <v>19202100097</v>
      </c>
      <c r="D92" s="2">
        <v>3.51</v>
      </c>
      <c r="E92" s="699" t="s">
        <v>419</v>
      </c>
    </row>
    <row r="93" spans="1:5" x14ac:dyDescent="0.25">
      <c r="A93" s="2" t="s">
        <v>1327</v>
      </c>
      <c r="B93" s="2" t="s">
        <v>1328</v>
      </c>
      <c r="C93" s="2">
        <v>19202100156</v>
      </c>
      <c r="D93" s="2">
        <v>3.38</v>
      </c>
      <c r="E93" s="699" t="s">
        <v>419</v>
      </c>
    </row>
    <row r="94" spans="1:5" x14ac:dyDescent="0.25">
      <c r="A94" s="2" t="s">
        <v>1327</v>
      </c>
      <c r="B94" s="2" t="s">
        <v>1328</v>
      </c>
      <c r="C94" s="2">
        <v>19202100098</v>
      </c>
      <c r="D94" s="2">
        <v>3.27</v>
      </c>
      <c r="E94" s="699" t="s">
        <v>419</v>
      </c>
    </row>
    <row r="95" spans="1:5" x14ac:dyDescent="0.25">
      <c r="A95" s="2" t="s">
        <v>1327</v>
      </c>
      <c r="B95" s="2" t="s">
        <v>1328</v>
      </c>
      <c r="C95" s="2">
        <v>19202100136</v>
      </c>
      <c r="D95" s="2">
        <v>3.25</v>
      </c>
      <c r="E95" s="699" t="s">
        <v>419</v>
      </c>
    </row>
    <row r="96" spans="1:5" x14ac:dyDescent="0.25">
      <c r="A96" s="2" t="s">
        <v>1327</v>
      </c>
      <c r="B96" s="2" t="s">
        <v>1328</v>
      </c>
      <c r="C96" s="2">
        <v>19202100159</v>
      </c>
      <c r="D96" s="2">
        <v>3.16</v>
      </c>
      <c r="E96" s="699" t="s">
        <v>419</v>
      </c>
    </row>
    <row r="97" spans="1:7" x14ac:dyDescent="0.25">
      <c r="A97" s="2" t="s">
        <v>1327</v>
      </c>
      <c r="B97" s="2" t="s">
        <v>1328</v>
      </c>
      <c r="C97" s="2">
        <v>19202100135</v>
      </c>
      <c r="D97" s="2">
        <v>3.07</v>
      </c>
      <c r="E97" s="699" t="s">
        <v>419</v>
      </c>
    </row>
    <row r="98" spans="1:7" x14ac:dyDescent="0.25">
      <c r="A98" s="2" t="s">
        <v>1327</v>
      </c>
      <c r="B98" s="2" t="s">
        <v>1328</v>
      </c>
      <c r="C98" s="2">
        <v>19202100160</v>
      </c>
      <c r="D98" s="2">
        <v>3.07</v>
      </c>
      <c r="E98" s="699" t="s">
        <v>419</v>
      </c>
    </row>
    <row r="99" spans="1:7" x14ac:dyDescent="0.25">
      <c r="A99" s="2" t="s">
        <v>1327</v>
      </c>
      <c r="B99" s="2" t="s">
        <v>1328</v>
      </c>
      <c r="C99" s="2">
        <v>19202100095</v>
      </c>
      <c r="D99" s="2">
        <v>2.99</v>
      </c>
      <c r="E99" s="699" t="s">
        <v>419</v>
      </c>
    </row>
    <row r="100" spans="1:7" x14ac:dyDescent="0.25">
      <c r="A100" s="2" t="s">
        <v>1327</v>
      </c>
      <c r="B100" s="2" t="s">
        <v>1328</v>
      </c>
      <c r="C100" s="2">
        <v>19202100158</v>
      </c>
      <c r="D100" s="2">
        <v>2.96</v>
      </c>
      <c r="E100" s="699" t="s">
        <v>419</v>
      </c>
    </row>
    <row r="101" spans="1:7" x14ac:dyDescent="0.25">
      <c r="A101" s="2" t="s">
        <v>1327</v>
      </c>
      <c r="B101" s="2" t="s">
        <v>1328</v>
      </c>
      <c r="C101" s="2">
        <v>19202100149</v>
      </c>
      <c r="D101" s="2">
        <v>2.95</v>
      </c>
      <c r="E101" s="699" t="s">
        <v>419</v>
      </c>
    </row>
    <row r="102" spans="1:7" x14ac:dyDescent="0.25">
      <c r="A102" s="2" t="s">
        <v>1327</v>
      </c>
      <c r="B102" s="2" t="s">
        <v>1328</v>
      </c>
      <c r="C102" s="2">
        <v>19202100157</v>
      </c>
      <c r="D102" s="2">
        <v>2.93</v>
      </c>
      <c r="E102" s="699" t="s">
        <v>419</v>
      </c>
    </row>
    <row r="103" spans="1:7" x14ac:dyDescent="0.25">
      <c r="A103" s="2" t="s">
        <v>1327</v>
      </c>
      <c r="B103" s="2" t="s">
        <v>1328</v>
      </c>
      <c r="C103" s="2">
        <v>19202100099</v>
      </c>
      <c r="D103" s="2">
        <v>2.77</v>
      </c>
      <c r="E103" s="699" t="s">
        <v>419</v>
      </c>
    </row>
    <row r="104" spans="1:7" x14ac:dyDescent="0.25">
      <c r="A104" s="2" t="s">
        <v>1362</v>
      </c>
      <c r="B104" s="2" t="s">
        <v>1365</v>
      </c>
      <c r="C104" s="2">
        <v>19202100689</v>
      </c>
      <c r="D104" s="2">
        <v>3.09</v>
      </c>
      <c r="E104" s="699" t="s">
        <v>419</v>
      </c>
      <c r="F104" s="647"/>
      <c r="G104" s="647"/>
    </row>
    <row r="105" spans="1:7" x14ac:dyDescent="0.25">
      <c r="A105" s="2" t="s">
        <v>1362</v>
      </c>
      <c r="B105" s="2" t="s">
        <v>1365</v>
      </c>
      <c r="C105" s="2">
        <v>19202100704</v>
      </c>
      <c r="D105" s="2">
        <v>2.99</v>
      </c>
      <c r="E105" s="699" t="s">
        <v>419</v>
      </c>
      <c r="F105" s="647"/>
      <c r="G105" s="647"/>
    </row>
    <row r="106" spans="1:7" x14ac:dyDescent="0.25">
      <c r="A106" s="2" t="s">
        <v>1362</v>
      </c>
      <c r="B106" s="2" t="s">
        <v>1365</v>
      </c>
      <c r="C106" s="2">
        <v>19202100733</v>
      </c>
      <c r="D106" s="2">
        <v>2.99</v>
      </c>
      <c r="E106" s="699" t="s">
        <v>419</v>
      </c>
      <c r="F106" s="647"/>
      <c r="G106" s="647"/>
    </row>
    <row r="107" spans="1:7" x14ac:dyDescent="0.25">
      <c r="A107" s="2" t="s">
        <v>1362</v>
      </c>
      <c r="B107" s="2" t="s">
        <v>1365</v>
      </c>
      <c r="C107" s="2">
        <v>19202100709</v>
      </c>
      <c r="D107" s="2">
        <v>2.97</v>
      </c>
      <c r="E107" s="699" t="s">
        <v>419</v>
      </c>
      <c r="F107" s="647"/>
      <c r="G107" s="647"/>
    </row>
    <row r="108" spans="1:7" x14ac:dyDescent="0.25">
      <c r="A108" s="2" t="s">
        <v>1362</v>
      </c>
      <c r="B108" s="2" t="s">
        <v>1365</v>
      </c>
      <c r="C108" s="2">
        <v>19202100731</v>
      </c>
      <c r="D108" s="2">
        <v>2.89</v>
      </c>
      <c r="E108" s="699" t="s">
        <v>419</v>
      </c>
      <c r="F108" s="647"/>
      <c r="G108" s="647"/>
    </row>
    <row r="109" spans="1:7" x14ac:dyDescent="0.25">
      <c r="A109" s="2" t="s">
        <v>1362</v>
      </c>
      <c r="B109" s="2" t="s">
        <v>1365</v>
      </c>
      <c r="C109" s="2">
        <v>19202100710</v>
      </c>
      <c r="D109" s="2">
        <v>2.5499999999999998</v>
      </c>
      <c r="E109" s="226" t="s">
        <v>420</v>
      </c>
      <c r="F109" s="647"/>
      <c r="G109" s="647"/>
    </row>
    <row r="110" spans="1:7" x14ac:dyDescent="0.25">
      <c r="A110" s="2" t="s">
        <v>1362</v>
      </c>
      <c r="B110" s="2" t="s">
        <v>1365</v>
      </c>
      <c r="C110" s="2">
        <v>19202100702</v>
      </c>
      <c r="D110" s="2">
        <v>1.17</v>
      </c>
      <c r="E110" s="226" t="s">
        <v>420</v>
      </c>
      <c r="F110" s="647"/>
      <c r="G110" s="647"/>
    </row>
    <row r="111" spans="1:7" x14ac:dyDescent="0.25">
      <c r="A111" s="2" t="s">
        <v>1362</v>
      </c>
      <c r="B111" s="2" t="s">
        <v>1366</v>
      </c>
      <c r="C111" s="2">
        <v>19202100689</v>
      </c>
      <c r="D111" s="2">
        <v>3.09</v>
      </c>
      <c r="E111" s="699" t="s">
        <v>419</v>
      </c>
      <c r="F111" s="647"/>
      <c r="G111" s="647"/>
    </row>
    <row r="112" spans="1:7" x14ac:dyDescent="0.25">
      <c r="A112" s="2" t="s">
        <v>1362</v>
      </c>
      <c r="B112" s="2" t="s">
        <v>1366</v>
      </c>
      <c r="C112" s="2">
        <v>19202100704</v>
      </c>
      <c r="D112" s="2">
        <v>2.99</v>
      </c>
      <c r="E112" s="699" t="s">
        <v>419</v>
      </c>
      <c r="F112" s="647"/>
      <c r="G112" s="647"/>
    </row>
    <row r="113" spans="1:7" x14ac:dyDescent="0.25">
      <c r="A113" s="2" t="s">
        <v>1362</v>
      </c>
      <c r="B113" s="2" t="s">
        <v>1366</v>
      </c>
      <c r="C113" s="2">
        <v>19202100733</v>
      </c>
      <c r="D113" s="2">
        <v>2.99</v>
      </c>
      <c r="E113" s="699" t="s">
        <v>419</v>
      </c>
      <c r="F113" s="647"/>
      <c r="G113" s="647"/>
    </row>
    <row r="114" spans="1:7" x14ac:dyDescent="0.25">
      <c r="A114" s="2" t="s">
        <v>1362</v>
      </c>
      <c r="B114" s="2" t="s">
        <v>1366</v>
      </c>
      <c r="C114" s="2">
        <v>19202100709</v>
      </c>
      <c r="D114" s="2">
        <v>2.97</v>
      </c>
      <c r="E114" s="699" t="s">
        <v>419</v>
      </c>
      <c r="F114" s="647"/>
      <c r="G114" s="647"/>
    </row>
    <row r="115" spans="1:7" x14ac:dyDescent="0.25">
      <c r="A115" s="2" t="s">
        <v>1362</v>
      </c>
      <c r="B115" s="2" t="s">
        <v>1366</v>
      </c>
      <c r="C115" s="2">
        <v>19202100731</v>
      </c>
      <c r="D115" s="2">
        <v>2.89</v>
      </c>
      <c r="E115" s="699" t="s">
        <v>419</v>
      </c>
      <c r="F115" s="647"/>
      <c r="G115" s="647"/>
    </row>
    <row r="116" spans="1:7" x14ac:dyDescent="0.25">
      <c r="A116" s="2" t="s">
        <v>1362</v>
      </c>
      <c r="B116" s="2" t="s">
        <v>1366</v>
      </c>
      <c r="C116" s="2">
        <v>19202100710</v>
      </c>
      <c r="D116" s="2">
        <v>2.5499999999999998</v>
      </c>
      <c r="E116" s="226" t="s">
        <v>420</v>
      </c>
      <c r="F116" s="647"/>
      <c r="G116" s="647"/>
    </row>
    <row r="117" spans="1:7" x14ac:dyDescent="0.25">
      <c r="A117" s="2" t="s">
        <v>1362</v>
      </c>
      <c r="B117" s="2" t="s">
        <v>1366</v>
      </c>
      <c r="C117" s="2">
        <v>19202100702</v>
      </c>
      <c r="D117" s="2">
        <v>1.17</v>
      </c>
      <c r="E117" s="226" t="s">
        <v>420</v>
      </c>
      <c r="F117" s="647"/>
      <c r="G117" s="647"/>
    </row>
    <row r="118" spans="1:7" x14ac:dyDescent="0.25">
      <c r="A118" s="2" t="s">
        <v>1362</v>
      </c>
      <c r="B118" s="2" t="s">
        <v>1367</v>
      </c>
      <c r="C118" s="2">
        <v>19202100735</v>
      </c>
      <c r="D118" s="2">
        <v>3.11</v>
      </c>
      <c r="E118" s="699" t="s">
        <v>419</v>
      </c>
      <c r="F118" s="647"/>
    </row>
    <row r="119" spans="1:7" x14ac:dyDescent="0.25">
      <c r="A119" s="2" t="s">
        <v>1362</v>
      </c>
      <c r="B119" s="2" t="s">
        <v>1367</v>
      </c>
      <c r="C119" s="2">
        <v>19202100688</v>
      </c>
      <c r="D119" s="2">
        <v>3</v>
      </c>
      <c r="E119" s="699" t="s">
        <v>419</v>
      </c>
      <c r="F119" s="647"/>
    </row>
    <row r="120" spans="1:7" x14ac:dyDescent="0.25">
      <c r="A120" s="2" t="s">
        <v>1362</v>
      </c>
      <c r="B120" s="2" t="s">
        <v>1367</v>
      </c>
      <c r="C120" s="2">
        <v>19202100700</v>
      </c>
      <c r="D120" s="2">
        <v>2.75</v>
      </c>
      <c r="E120" s="699" t="s">
        <v>419</v>
      </c>
      <c r="F120" s="647"/>
    </row>
    <row r="121" spans="1:7" x14ac:dyDescent="0.25">
      <c r="A121" s="2" t="s">
        <v>1362</v>
      </c>
      <c r="B121" s="2" t="s">
        <v>1367</v>
      </c>
      <c r="C121" s="2">
        <v>19202100701</v>
      </c>
      <c r="D121" s="2">
        <v>2.5299999999999998</v>
      </c>
      <c r="E121" s="226" t="s">
        <v>420</v>
      </c>
      <c r="F121" s="647"/>
    </row>
    <row r="122" spans="1:7" x14ac:dyDescent="0.25">
      <c r="A122" s="2" t="s">
        <v>1362</v>
      </c>
      <c r="B122" s="2" t="s">
        <v>1368</v>
      </c>
      <c r="C122" s="2">
        <v>19202100692</v>
      </c>
      <c r="D122" s="2">
        <v>2.92</v>
      </c>
      <c r="E122" s="699" t="s">
        <v>419</v>
      </c>
      <c r="F122" s="647"/>
      <c r="G122" s="647"/>
    </row>
    <row r="123" spans="1:7" x14ac:dyDescent="0.25">
      <c r="A123" s="2" t="s">
        <v>1362</v>
      </c>
      <c r="B123" s="2" t="s">
        <v>1368</v>
      </c>
      <c r="C123" s="2">
        <v>19202100705</v>
      </c>
      <c r="D123" s="2">
        <v>2.88</v>
      </c>
      <c r="E123" s="699" t="s">
        <v>419</v>
      </c>
      <c r="F123" s="647"/>
      <c r="G123" s="647"/>
    </row>
    <row r="124" spans="1:7" x14ac:dyDescent="0.25">
      <c r="A124" s="2" t="s">
        <v>1362</v>
      </c>
      <c r="B124" s="2" t="s">
        <v>1368</v>
      </c>
      <c r="C124" s="2">
        <v>19202100711</v>
      </c>
      <c r="D124" s="2">
        <v>2.82</v>
      </c>
      <c r="E124" s="699" t="s">
        <v>419</v>
      </c>
      <c r="F124" s="647"/>
      <c r="G124" s="647"/>
    </row>
    <row r="125" spans="1:7" x14ac:dyDescent="0.25">
      <c r="A125" s="2" t="s">
        <v>1362</v>
      </c>
      <c r="B125" s="2" t="s">
        <v>1368</v>
      </c>
      <c r="C125" s="2">
        <v>19202100696</v>
      </c>
      <c r="D125" s="2">
        <v>2.37</v>
      </c>
      <c r="E125" s="226" t="s">
        <v>420</v>
      </c>
      <c r="F125" s="647"/>
      <c r="G125" s="647"/>
    </row>
    <row r="126" spans="1:7" x14ac:dyDescent="0.25">
      <c r="A126" s="843" t="s">
        <v>1544</v>
      </c>
      <c r="B126" s="843" t="s">
        <v>1545</v>
      </c>
      <c r="C126" s="843">
        <v>19202200213</v>
      </c>
      <c r="D126" s="843">
        <v>3.161</v>
      </c>
      <c r="E126" s="699" t="s">
        <v>419</v>
      </c>
    </row>
    <row r="127" spans="1:7" x14ac:dyDescent="0.25">
      <c r="A127" s="843" t="s">
        <v>1544</v>
      </c>
      <c r="B127" s="843" t="s">
        <v>1545</v>
      </c>
      <c r="C127" s="843">
        <v>19202200221</v>
      </c>
      <c r="D127" s="843">
        <v>3.0619999999999998</v>
      </c>
      <c r="E127" s="699" t="s">
        <v>419</v>
      </c>
    </row>
    <row r="128" spans="1:7" x14ac:dyDescent="0.25">
      <c r="A128" s="843" t="s">
        <v>1544</v>
      </c>
      <c r="B128" s="843" t="s">
        <v>1545</v>
      </c>
      <c r="C128" s="843">
        <v>19202200228</v>
      </c>
      <c r="D128" s="843">
        <v>3.06</v>
      </c>
      <c r="E128" s="699" t="s">
        <v>419</v>
      </c>
    </row>
    <row r="129" spans="1:5" x14ac:dyDescent="0.25">
      <c r="A129" s="843" t="s">
        <v>1544</v>
      </c>
      <c r="B129" s="843" t="s">
        <v>1545</v>
      </c>
      <c r="C129" s="843">
        <v>19202200226</v>
      </c>
      <c r="D129" s="843">
        <v>3.0390000000000001</v>
      </c>
      <c r="E129" s="699" t="s">
        <v>419</v>
      </c>
    </row>
    <row r="130" spans="1:5" x14ac:dyDescent="0.25">
      <c r="A130" s="843" t="s">
        <v>1544</v>
      </c>
      <c r="B130" s="843" t="s">
        <v>1545</v>
      </c>
      <c r="C130" s="843">
        <v>19202200156</v>
      </c>
      <c r="D130" s="843">
        <v>2.879</v>
      </c>
      <c r="E130" s="699" t="s">
        <v>419</v>
      </c>
    </row>
    <row r="131" spans="1:5" x14ac:dyDescent="0.25">
      <c r="A131" s="843" t="s">
        <v>1544</v>
      </c>
      <c r="B131" s="843" t="s">
        <v>1368</v>
      </c>
      <c r="C131" s="843">
        <v>19202200222</v>
      </c>
      <c r="D131" s="843">
        <v>3.1040000000000001</v>
      </c>
      <c r="E131" s="699" t="s">
        <v>419</v>
      </c>
    </row>
    <row r="132" spans="1:5" x14ac:dyDescent="0.25">
      <c r="A132" s="843" t="s">
        <v>1544</v>
      </c>
      <c r="B132" s="843" t="s">
        <v>1368</v>
      </c>
      <c r="C132" s="843">
        <v>19202200215</v>
      </c>
      <c r="D132" s="843">
        <v>3.0609999999999999</v>
      </c>
      <c r="E132" s="699" t="s">
        <v>419</v>
      </c>
    </row>
    <row r="133" spans="1:5" x14ac:dyDescent="0.25">
      <c r="A133" s="843" t="s">
        <v>1544</v>
      </c>
      <c r="B133" s="843" t="s">
        <v>1368</v>
      </c>
      <c r="C133" s="843">
        <v>19202200227</v>
      </c>
      <c r="D133" s="843">
        <v>3.028</v>
      </c>
      <c r="E133" s="699" t="s">
        <v>419</v>
      </c>
    </row>
    <row r="134" spans="1:5" x14ac:dyDescent="0.25">
      <c r="A134" s="843" t="s">
        <v>1544</v>
      </c>
      <c r="B134" s="843" t="s">
        <v>1368</v>
      </c>
      <c r="C134" s="843">
        <v>19202200155</v>
      </c>
      <c r="D134" s="843">
        <v>2.972</v>
      </c>
      <c r="E134" s="699" t="s">
        <v>419</v>
      </c>
    </row>
    <row r="135" spans="1:5" x14ac:dyDescent="0.25">
      <c r="A135" s="843" t="s">
        <v>1544</v>
      </c>
      <c r="B135" s="843" t="s">
        <v>1368</v>
      </c>
      <c r="C135" s="843">
        <v>19202200218</v>
      </c>
      <c r="D135" s="843">
        <v>2.8319999999999999</v>
      </c>
      <c r="E135" s="699" t="s">
        <v>419</v>
      </c>
    </row>
    <row r="136" spans="1:5" x14ac:dyDescent="0.25">
      <c r="A136" s="843" t="s">
        <v>1544</v>
      </c>
      <c r="B136" s="843" t="s">
        <v>1368</v>
      </c>
      <c r="C136" s="843">
        <v>19202200189</v>
      </c>
      <c r="D136" s="843">
        <v>2.81</v>
      </c>
      <c r="E136" s="699" t="s">
        <v>419</v>
      </c>
    </row>
    <row r="137" spans="1:5" x14ac:dyDescent="0.25">
      <c r="A137" s="843" t="s">
        <v>1544</v>
      </c>
      <c r="B137" s="843" t="s">
        <v>1368</v>
      </c>
      <c r="C137" s="843">
        <v>19202200224</v>
      </c>
      <c r="D137" s="843">
        <v>2.6640000000000001</v>
      </c>
      <c r="E137" s="699" t="s">
        <v>419</v>
      </c>
    </row>
    <row r="138" spans="1:5" x14ac:dyDescent="0.25">
      <c r="A138" s="843" t="s">
        <v>1544</v>
      </c>
      <c r="B138" s="843" t="s">
        <v>1368</v>
      </c>
      <c r="C138" s="843">
        <v>19202200229</v>
      </c>
      <c r="D138" s="843">
        <v>2.4390000000000001</v>
      </c>
      <c r="E138" s="845" t="s">
        <v>420</v>
      </c>
    </row>
  </sheetData>
  <mergeCells count="1">
    <mergeCell ref="A1:E1"/>
  </mergeCells>
  <hyperlinks>
    <hyperlink ref="C66" r:id="rId1" location="/router?komponent=taotlus&amp;id=714633&amp;kuva=ava" display="/router?komponent=taotlus&amp;id=714633&amp;kuva=ava"/>
    <hyperlink ref="C67" r:id="rId2" location="/router?komponent=taotlus&amp;id=711738&amp;kuva=ava" display="https://pms.arib.pria.ee/pms-menetlus/ - /router?komponent=taotlus&amp;id=711738&amp;kuva=ava"/>
    <hyperlink ref="C68" r:id="rId3" location="/router?komponent=taotlus&amp;id=710908&amp;kuva=ava" display="https://pms.arib.pria.ee/pms-menetlus/ - /router?komponent=taotlus&amp;id=710908&amp;kuva=ava"/>
    <hyperlink ref="C69" r:id="rId4" location="/router?komponent=taotlus&amp;id=712178&amp;kuva=ava" display="https://pms.arib.pria.ee/pms-menetlus/ - /router?komponent=taotlus&amp;id=712178&amp;kuva=ava"/>
    <hyperlink ref="C70" r:id="rId5" location="/router?komponent=taotlus&amp;id=709667&amp;kuva=ava" display="https://pms.arib.pria.ee/pms-menetlus/ - /router?komponent=taotlus&amp;id=709667&amp;kuva=ava"/>
    <hyperlink ref="C71" r:id="rId6" location="/router?komponent=taotlus&amp;id=711699&amp;kuva=ava" display="/router?komponent=taotlus&amp;id=711699&amp;kuva=ava"/>
    <hyperlink ref="C72" r:id="rId7" location="/router?komponent=taotlus&amp;id=709172&amp;kuva=ava" display="https://pms.arib.pria.ee/pms-menetlus/ - /router?komponent=taotlus&amp;id=709172&amp;kuva=ava"/>
    <hyperlink ref="C73" r:id="rId8" location="/router?komponent=taotlus&amp;id=713147&amp;kuva=ava" display="https://pms.arib.pria.ee/pms-menetlus/ - /router?komponent=taotlus&amp;id=713147&amp;kuva=ava"/>
    <hyperlink ref="C74" r:id="rId9" location="/router?komponent=taotlus&amp;id=710170&amp;kuva=ava" display="https://pms.arib.pria.ee/pms-menetlus/ - /router?komponent=taotlus&amp;id=710170&amp;kuva=ava"/>
    <hyperlink ref="C75" r:id="rId10" location="/router?komponent=taotlus&amp;id=717117&amp;kuva=ava" display="https://pms.arib.pria.ee/pms-menetlus/ - /router?komponent=taotlus&amp;id=717117&amp;kuva=ava"/>
    <hyperlink ref="C76" r:id="rId11" location="/router?komponent=taotlus&amp;id=712422&amp;kuva=ava" display="https://pms.arib.pria.ee/pms-menetlus/ - /router?komponent=taotlus&amp;id=712422&amp;kuva=ava"/>
    <hyperlink ref="C77" r:id="rId12" location="/router?komponent=taotlus&amp;id=709676&amp;kuva=ava" display="https://pms.arib.pria.ee/pms-menetlus/ - /router?komponent=taotlus&amp;id=709676&amp;kuva=ava"/>
  </hyperlinks>
  <pageMargins left="0.7" right="0.7" top="0.75" bottom="0.75" header="0.3" footer="0.3"/>
  <pageSetup paperSize="9" orientation="portrait"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301" workbookViewId="0">
      <selection activeCell="D318" sqref="D318"/>
    </sheetView>
  </sheetViews>
  <sheetFormatPr defaultRowHeight="15" x14ac:dyDescent="0.25"/>
  <cols>
    <col min="1" max="1" width="21.140625" customWidth="1"/>
    <col min="2" max="2" width="51.140625" bestFit="1" customWidth="1"/>
    <col min="3" max="3" width="14.85546875" customWidth="1"/>
    <col min="4" max="4" width="22.140625" customWidth="1"/>
    <col min="5" max="5" width="20.140625" customWidth="1"/>
    <col min="6" max="6" width="16.140625" style="21" customWidth="1"/>
  </cols>
  <sheetData>
    <row r="1" spans="1:6" ht="15.75" x14ac:dyDescent="0.25">
      <c r="A1" s="856" t="s">
        <v>8</v>
      </c>
      <c r="B1" s="857"/>
      <c r="C1" s="857"/>
      <c r="D1" s="857"/>
      <c r="E1" s="857"/>
      <c r="F1" s="857"/>
    </row>
    <row r="2" spans="1:6" ht="15.75" thickBot="1" x14ac:dyDescent="0.3">
      <c r="A2" s="149" t="s">
        <v>6</v>
      </c>
      <c r="B2" s="109" t="s">
        <v>2</v>
      </c>
      <c r="C2" s="110" t="s">
        <v>0</v>
      </c>
      <c r="D2" s="108" t="s">
        <v>1</v>
      </c>
      <c r="E2" s="183" t="s">
        <v>464</v>
      </c>
      <c r="F2" s="620" t="s">
        <v>577</v>
      </c>
    </row>
    <row r="3" spans="1:6" x14ac:dyDescent="0.25">
      <c r="A3" s="58" t="s">
        <v>11</v>
      </c>
      <c r="B3" s="59" t="s">
        <v>10</v>
      </c>
      <c r="C3" s="127">
        <v>619216590004</v>
      </c>
      <c r="D3" s="38">
        <v>8.35</v>
      </c>
      <c r="E3" s="228" t="s">
        <v>419</v>
      </c>
      <c r="F3" s="229" t="s">
        <v>578</v>
      </c>
    </row>
    <row r="4" spans="1:6" x14ac:dyDescent="0.25">
      <c r="A4" s="60" t="s">
        <v>11</v>
      </c>
      <c r="B4" s="24" t="s">
        <v>10</v>
      </c>
      <c r="C4" s="16">
        <v>619216590011</v>
      </c>
      <c r="D4" s="9">
        <v>7.86</v>
      </c>
      <c r="E4" s="225" t="s">
        <v>419</v>
      </c>
      <c r="F4" s="230" t="s">
        <v>579</v>
      </c>
    </row>
    <row r="5" spans="1:6" x14ac:dyDescent="0.25">
      <c r="A5" s="60" t="s">
        <v>11</v>
      </c>
      <c r="B5" s="24" t="s">
        <v>10</v>
      </c>
      <c r="C5" s="16">
        <v>619216590003</v>
      </c>
      <c r="D5" s="9">
        <v>7.68</v>
      </c>
      <c r="E5" s="225" t="s">
        <v>419</v>
      </c>
      <c r="F5" s="230" t="s">
        <v>580</v>
      </c>
    </row>
    <row r="6" spans="1:6" x14ac:dyDescent="0.25">
      <c r="A6" s="60" t="s">
        <v>11</v>
      </c>
      <c r="B6" s="24" t="s">
        <v>10</v>
      </c>
      <c r="C6" s="16">
        <v>619216590005</v>
      </c>
      <c r="D6" s="9">
        <v>7.53</v>
      </c>
      <c r="E6" s="225" t="s">
        <v>419</v>
      </c>
      <c r="F6" s="230" t="s">
        <v>581</v>
      </c>
    </row>
    <row r="7" spans="1:6" x14ac:dyDescent="0.25">
      <c r="A7" s="60" t="s">
        <v>11</v>
      </c>
      <c r="B7" s="24" t="s">
        <v>10</v>
      </c>
      <c r="C7" s="16">
        <v>619216590010</v>
      </c>
      <c r="D7" s="9">
        <v>7.5</v>
      </c>
      <c r="E7" s="225" t="s">
        <v>419</v>
      </c>
      <c r="F7" s="230" t="s">
        <v>582</v>
      </c>
    </row>
    <row r="8" spans="1:6" x14ac:dyDescent="0.25">
      <c r="A8" s="60" t="s">
        <v>11</v>
      </c>
      <c r="B8" s="24" t="s">
        <v>10</v>
      </c>
      <c r="C8" s="16">
        <v>619216590009</v>
      </c>
      <c r="D8" s="9">
        <v>7.42</v>
      </c>
      <c r="E8" s="225" t="s">
        <v>419</v>
      </c>
      <c r="F8" s="230" t="s">
        <v>583</v>
      </c>
    </row>
    <row r="9" spans="1:6" x14ac:dyDescent="0.25">
      <c r="A9" s="60" t="s">
        <v>11</v>
      </c>
      <c r="B9" s="24" t="s">
        <v>10</v>
      </c>
      <c r="C9" s="16">
        <v>619216590007</v>
      </c>
      <c r="D9" s="9">
        <v>7.4</v>
      </c>
      <c r="E9" s="225" t="s">
        <v>419</v>
      </c>
      <c r="F9" s="230" t="s">
        <v>584</v>
      </c>
    </row>
    <row r="10" spans="1:6" x14ac:dyDescent="0.25">
      <c r="A10" s="60" t="s">
        <v>11</v>
      </c>
      <c r="B10" s="24" t="s">
        <v>10</v>
      </c>
      <c r="C10" s="16">
        <v>619216590012</v>
      </c>
      <c r="D10" s="9">
        <v>7.35</v>
      </c>
      <c r="E10" s="225" t="s">
        <v>419</v>
      </c>
      <c r="F10" s="230" t="s">
        <v>585</v>
      </c>
    </row>
    <row r="11" spans="1:6" x14ac:dyDescent="0.25">
      <c r="A11" s="60" t="s">
        <v>11</v>
      </c>
      <c r="B11" s="24" t="s">
        <v>10</v>
      </c>
      <c r="C11" s="16">
        <v>619216590008</v>
      </c>
      <c r="D11" s="9">
        <v>7.34</v>
      </c>
      <c r="E11" s="225" t="s">
        <v>419</v>
      </c>
      <c r="F11" s="230" t="s">
        <v>586</v>
      </c>
    </row>
    <row r="12" spans="1:6" x14ac:dyDescent="0.25">
      <c r="A12" s="60" t="s">
        <v>11</v>
      </c>
      <c r="B12" s="24" t="s">
        <v>10</v>
      </c>
      <c r="C12" s="16">
        <v>619216590006</v>
      </c>
      <c r="D12" s="9">
        <v>6.81</v>
      </c>
      <c r="E12" s="225" t="s">
        <v>419</v>
      </c>
      <c r="F12" s="230" t="s">
        <v>587</v>
      </c>
    </row>
    <row r="13" spans="1:6" ht="15.75" thickBot="1" x14ac:dyDescent="0.3">
      <c r="A13" s="61" t="s">
        <v>11</v>
      </c>
      <c r="B13" s="128" t="s">
        <v>10</v>
      </c>
      <c r="C13" s="129">
        <v>619216590013</v>
      </c>
      <c r="D13" s="45">
        <v>6.15</v>
      </c>
      <c r="E13" s="260" t="s">
        <v>419</v>
      </c>
      <c r="F13" s="231" t="s">
        <v>588</v>
      </c>
    </row>
    <row r="14" spans="1:6" x14ac:dyDescent="0.25">
      <c r="A14" s="58" t="s">
        <v>12</v>
      </c>
      <c r="B14" s="64" t="s">
        <v>9</v>
      </c>
      <c r="C14" s="127">
        <v>619216590016</v>
      </c>
      <c r="D14" s="38">
        <v>8.74</v>
      </c>
      <c r="E14" s="228" t="s">
        <v>419</v>
      </c>
      <c r="F14" s="229" t="s">
        <v>578</v>
      </c>
    </row>
    <row r="15" spans="1:6" x14ac:dyDescent="0.25">
      <c r="A15" s="60" t="s">
        <v>12</v>
      </c>
      <c r="B15" s="25" t="s">
        <v>9</v>
      </c>
      <c r="C15" s="16">
        <v>619216590014</v>
      </c>
      <c r="D15" s="9">
        <v>8.23</v>
      </c>
      <c r="E15" s="225" t="s">
        <v>419</v>
      </c>
      <c r="F15" s="230" t="s">
        <v>579</v>
      </c>
    </row>
    <row r="16" spans="1:6" x14ac:dyDescent="0.25">
      <c r="A16" s="60" t="s">
        <v>12</v>
      </c>
      <c r="B16" s="25" t="s">
        <v>9</v>
      </c>
      <c r="C16" s="16">
        <v>619216590017</v>
      </c>
      <c r="D16" s="9">
        <v>8.08</v>
      </c>
      <c r="E16" s="225" t="s">
        <v>419</v>
      </c>
      <c r="F16" s="230" t="s">
        <v>580</v>
      </c>
    </row>
    <row r="17" spans="1:6" x14ac:dyDescent="0.25">
      <c r="A17" s="60" t="s">
        <v>12</v>
      </c>
      <c r="B17" s="25" t="s">
        <v>9</v>
      </c>
      <c r="C17" s="16">
        <v>619216590020</v>
      </c>
      <c r="D17" s="9">
        <v>8.0399999999999991</v>
      </c>
      <c r="E17" s="225" t="s">
        <v>419</v>
      </c>
      <c r="F17" s="230" t="s">
        <v>581</v>
      </c>
    </row>
    <row r="18" spans="1:6" x14ac:dyDescent="0.25">
      <c r="A18" s="60" t="s">
        <v>12</v>
      </c>
      <c r="B18" s="25" t="s">
        <v>9</v>
      </c>
      <c r="C18" s="16">
        <v>619216590015</v>
      </c>
      <c r="D18" s="9">
        <v>8.02</v>
      </c>
      <c r="E18" s="225" t="s">
        <v>419</v>
      </c>
      <c r="F18" s="230" t="s">
        <v>582</v>
      </c>
    </row>
    <row r="19" spans="1:6" x14ac:dyDescent="0.25">
      <c r="A19" s="60" t="s">
        <v>12</v>
      </c>
      <c r="B19" s="25" t="s">
        <v>9</v>
      </c>
      <c r="C19" s="16">
        <v>619216590018</v>
      </c>
      <c r="D19" s="9">
        <v>7.81</v>
      </c>
      <c r="E19" s="225" t="s">
        <v>419</v>
      </c>
      <c r="F19" s="230" t="s">
        <v>583</v>
      </c>
    </row>
    <row r="20" spans="1:6" x14ac:dyDescent="0.25">
      <c r="A20" s="60" t="s">
        <v>12</v>
      </c>
      <c r="B20" s="25" t="s">
        <v>9</v>
      </c>
      <c r="C20" s="16">
        <v>619216590021</v>
      </c>
      <c r="D20" s="9">
        <v>6.65</v>
      </c>
      <c r="E20" s="225" t="s">
        <v>419</v>
      </c>
      <c r="F20" s="230" t="s">
        <v>584</v>
      </c>
    </row>
    <row r="21" spans="1:6" x14ac:dyDescent="0.25">
      <c r="A21" s="60" t="s">
        <v>12</v>
      </c>
      <c r="B21" s="25" t="s">
        <v>9</v>
      </c>
      <c r="C21" s="16">
        <v>619216590022</v>
      </c>
      <c r="D21" s="9">
        <v>6.6</v>
      </c>
      <c r="E21" s="225" t="s">
        <v>419</v>
      </c>
      <c r="F21" s="230" t="s">
        <v>585</v>
      </c>
    </row>
    <row r="22" spans="1:6" x14ac:dyDescent="0.25">
      <c r="A22" s="60" t="s">
        <v>12</v>
      </c>
      <c r="B22" s="25" t="s">
        <v>9</v>
      </c>
      <c r="C22" s="16">
        <v>619216590002</v>
      </c>
      <c r="D22" s="9">
        <v>6.31</v>
      </c>
      <c r="E22" s="225" t="s">
        <v>419</v>
      </c>
      <c r="F22" s="230" t="s">
        <v>586</v>
      </c>
    </row>
    <row r="23" spans="1:6" x14ac:dyDescent="0.25">
      <c r="A23" s="60" t="s">
        <v>12</v>
      </c>
      <c r="B23" s="25" t="s">
        <v>9</v>
      </c>
      <c r="C23" s="16">
        <v>619216590024</v>
      </c>
      <c r="D23" s="9">
        <v>6.28</v>
      </c>
      <c r="E23" s="226" t="s">
        <v>420</v>
      </c>
      <c r="F23" s="230" t="s">
        <v>587</v>
      </c>
    </row>
    <row r="24" spans="1:6" x14ac:dyDescent="0.25">
      <c r="A24" s="60" t="s">
        <v>12</v>
      </c>
      <c r="B24" s="25" t="s">
        <v>9</v>
      </c>
      <c r="C24" s="16">
        <v>619216590025</v>
      </c>
      <c r="D24" s="9">
        <v>6.16</v>
      </c>
      <c r="E24" s="226" t="s">
        <v>420</v>
      </c>
      <c r="F24" s="230" t="s">
        <v>588</v>
      </c>
    </row>
    <row r="25" spans="1:6" x14ac:dyDescent="0.25">
      <c r="A25" s="60" t="s">
        <v>12</v>
      </c>
      <c r="B25" s="25" t="s">
        <v>9</v>
      </c>
      <c r="C25" s="16">
        <v>619216590023</v>
      </c>
      <c r="D25" s="9">
        <v>6.1</v>
      </c>
      <c r="E25" s="226" t="s">
        <v>420</v>
      </c>
      <c r="F25" s="230" t="s">
        <v>589</v>
      </c>
    </row>
    <row r="26" spans="1:6" ht="15.75" thickBot="1" x14ac:dyDescent="0.3">
      <c r="A26" s="61" t="s">
        <v>12</v>
      </c>
      <c r="B26" s="88" t="s">
        <v>9</v>
      </c>
      <c r="C26" s="129">
        <v>619216590026</v>
      </c>
      <c r="D26" s="45">
        <v>5.95</v>
      </c>
      <c r="E26" s="234" t="s">
        <v>420</v>
      </c>
      <c r="F26" s="231" t="s">
        <v>590</v>
      </c>
    </row>
    <row r="27" spans="1:6" x14ac:dyDescent="0.25">
      <c r="A27" s="58" t="s">
        <v>607</v>
      </c>
      <c r="B27" s="64" t="s">
        <v>608</v>
      </c>
      <c r="C27" s="127" t="s">
        <v>611</v>
      </c>
      <c r="D27" s="38">
        <v>8.0500000000000007</v>
      </c>
      <c r="E27" s="266" t="s">
        <v>419</v>
      </c>
      <c r="F27" s="229" t="s">
        <v>578</v>
      </c>
    </row>
    <row r="28" spans="1:6" x14ac:dyDescent="0.25">
      <c r="A28" s="60" t="s">
        <v>607</v>
      </c>
      <c r="B28" s="25" t="s">
        <v>608</v>
      </c>
      <c r="C28" s="16" t="s">
        <v>610</v>
      </c>
      <c r="D28" s="9">
        <v>8.24</v>
      </c>
      <c r="E28" s="265" t="s">
        <v>419</v>
      </c>
      <c r="F28" s="230" t="s">
        <v>579</v>
      </c>
    </row>
    <row r="29" spans="1:6" x14ac:dyDescent="0.25">
      <c r="A29" s="60" t="s">
        <v>607</v>
      </c>
      <c r="B29" s="25" t="s">
        <v>608</v>
      </c>
      <c r="C29" s="16" t="s">
        <v>612</v>
      </c>
      <c r="D29" s="9">
        <v>7.6280000000000001</v>
      </c>
      <c r="E29" s="265" t="s">
        <v>419</v>
      </c>
      <c r="F29" s="230" t="s">
        <v>580</v>
      </c>
    </row>
    <row r="30" spans="1:6" x14ac:dyDescent="0.25">
      <c r="A30" s="261" t="s">
        <v>607</v>
      </c>
      <c r="B30" s="262" t="s">
        <v>608</v>
      </c>
      <c r="C30" s="263" t="s">
        <v>613</v>
      </c>
      <c r="D30" s="264">
        <v>7.51</v>
      </c>
      <c r="E30" s="265" t="s">
        <v>419</v>
      </c>
      <c r="F30" s="230" t="s">
        <v>581</v>
      </c>
    </row>
    <row r="31" spans="1:6" ht="15.75" thickBot="1" x14ac:dyDescent="0.3">
      <c r="A31" s="244" t="s">
        <v>607</v>
      </c>
      <c r="B31" s="267" t="s">
        <v>608</v>
      </c>
      <c r="C31" s="268" t="s">
        <v>609</v>
      </c>
      <c r="D31" s="269">
        <v>7.22</v>
      </c>
      <c r="E31" s="270" t="s">
        <v>419</v>
      </c>
      <c r="F31" s="271" t="s">
        <v>582</v>
      </c>
    </row>
    <row r="32" spans="1:6" x14ac:dyDescent="0.25">
      <c r="A32" s="58" t="s">
        <v>415</v>
      </c>
      <c r="B32" s="59" t="s">
        <v>416</v>
      </c>
      <c r="C32" s="48" t="str">
        <f>"619216590601"</f>
        <v>619216590601</v>
      </c>
      <c r="D32" s="38">
        <v>8.3710000000000004</v>
      </c>
      <c r="E32" s="228" t="s">
        <v>419</v>
      </c>
      <c r="F32" s="229" t="s">
        <v>578</v>
      </c>
    </row>
    <row r="33" spans="1:6" x14ac:dyDescent="0.25">
      <c r="A33" s="60" t="s">
        <v>415</v>
      </c>
      <c r="B33" s="24" t="s">
        <v>416</v>
      </c>
      <c r="C33" s="5" t="str">
        <f>"619216590606"</f>
        <v>619216590606</v>
      </c>
      <c r="D33" s="9">
        <v>8.3539999999999992</v>
      </c>
      <c r="E33" s="225" t="s">
        <v>419</v>
      </c>
      <c r="F33" s="230" t="s">
        <v>579</v>
      </c>
    </row>
    <row r="34" spans="1:6" x14ac:dyDescent="0.25">
      <c r="A34" s="60" t="s">
        <v>415</v>
      </c>
      <c r="B34" s="24" t="s">
        <v>416</v>
      </c>
      <c r="C34" s="5" t="str">
        <f>"619216590596"</f>
        <v>619216590596</v>
      </c>
      <c r="D34" s="9">
        <v>8.1829999999999998</v>
      </c>
      <c r="E34" s="225" t="s">
        <v>419</v>
      </c>
      <c r="F34" s="230" t="s">
        <v>580</v>
      </c>
    </row>
    <row r="35" spans="1:6" x14ac:dyDescent="0.25">
      <c r="A35" s="60" t="s">
        <v>415</v>
      </c>
      <c r="B35" s="24" t="s">
        <v>416</v>
      </c>
      <c r="C35" s="5" t="str">
        <f>"619216590595"</f>
        <v>619216590595</v>
      </c>
      <c r="D35" s="9">
        <v>7.9290000000000003</v>
      </c>
      <c r="E35" s="225" t="s">
        <v>419</v>
      </c>
      <c r="F35" s="230" t="s">
        <v>581</v>
      </c>
    </row>
    <row r="36" spans="1:6" x14ac:dyDescent="0.25">
      <c r="A36" s="60" t="s">
        <v>415</v>
      </c>
      <c r="B36" s="24" t="s">
        <v>416</v>
      </c>
      <c r="C36" s="5" t="str">
        <f>"619216590597"</f>
        <v>619216590597</v>
      </c>
      <c r="D36" s="9">
        <v>7.7</v>
      </c>
      <c r="E36" s="225" t="s">
        <v>419</v>
      </c>
      <c r="F36" s="230" t="s">
        <v>582</v>
      </c>
    </row>
    <row r="37" spans="1:6" x14ac:dyDescent="0.25">
      <c r="A37" s="60" t="s">
        <v>415</v>
      </c>
      <c r="B37" s="24" t="s">
        <v>416</v>
      </c>
      <c r="C37" s="5" t="str">
        <f>"619216590598"</f>
        <v>619216590598</v>
      </c>
      <c r="D37" s="9">
        <v>7.5709999999999997</v>
      </c>
      <c r="E37" s="225" t="s">
        <v>419</v>
      </c>
      <c r="F37" s="230" t="s">
        <v>583</v>
      </c>
    </row>
    <row r="38" spans="1:6" x14ac:dyDescent="0.25">
      <c r="A38" s="60" t="s">
        <v>415</v>
      </c>
      <c r="B38" s="24" t="s">
        <v>416</v>
      </c>
      <c r="C38" s="5" t="str">
        <f>"619216590600"</f>
        <v>619216590600</v>
      </c>
      <c r="D38" s="9">
        <v>7.4130000000000003</v>
      </c>
      <c r="E38" s="225" t="s">
        <v>419</v>
      </c>
      <c r="F38" s="230" t="s">
        <v>584</v>
      </c>
    </row>
    <row r="39" spans="1:6" x14ac:dyDescent="0.25">
      <c r="A39" s="60" t="s">
        <v>415</v>
      </c>
      <c r="B39" s="24" t="s">
        <v>416</v>
      </c>
      <c r="C39" s="5" t="str">
        <f>"619216590594"</f>
        <v>619216590594</v>
      </c>
      <c r="D39" s="9">
        <v>7.2789999999999999</v>
      </c>
      <c r="E39" s="225" t="s">
        <v>419</v>
      </c>
      <c r="F39" s="230" t="s">
        <v>585</v>
      </c>
    </row>
    <row r="40" spans="1:6" x14ac:dyDescent="0.25">
      <c r="A40" s="60" t="s">
        <v>415</v>
      </c>
      <c r="B40" s="24" t="s">
        <v>416</v>
      </c>
      <c r="C40" s="5" t="str">
        <f>"619216590592"</f>
        <v>619216590592</v>
      </c>
      <c r="D40" s="9">
        <v>7.2</v>
      </c>
      <c r="E40" s="225" t="s">
        <v>419</v>
      </c>
      <c r="F40" s="230" t="s">
        <v>586</v>
      </c>
    </row>
    <row r="41" spans="1:6" x14ac:dyDescent="0.25">
      <c r="A41" s="60" t="s">
        <v>415</v>
      </c>
      <c r="B41" s="24" t="s">
        <v>416</v>
      </c>
      <c r="C41" s="5" t="str">
        <f>"619216590593"</f>
        <v>619216590593</v>
      </c>
      <c r="D41" s="9">
        <v>7.1749999999999998</v>
      </c>
      <c r="E41" s="225" t="s">
        <v>419</v>
      </c>
      <c r="F41" s="230" t="s">
        <v>587</v>
      </c>
    </row>
    <row r="42" spans="1:6" x14ac:dyDescent="0.25">
      <c r="A42" s="60" t="s">
        <v>415</v>
      </c>
      <c r="B42" s="24" t="s">
        <v>416</v>
      </c>
      <c r="C42" s="5" t="str">
        <f>"619216590599"</f>
        <v>619216590599</v>
      </c>
      <c r="D42" s="9">
        <v>7.133</v>
      </c>
      <c r="E42" s="225" t="s">
        <v>419</v>
      </c>
      <c r="F42" s="230" t="s">
        <v>588</v>
      </c>
    </row>
    <row r="43" spans="1:6" x14ac:dyDescent="0.25">
      <c r="A43" s="60" t="s">
        <v>415</v>
      </c>
      <c r="B43" s="24" t="s">
        <v>416</v>
      </c>
      <c r="C43" s="5" t="str">
        <f>"619216590609"</f>
        <v>619216590609</v>
      </c>
      <c r="D43" s="9">
        <v>6.8170000000000002</v>
      </c>
      <c r="E43" s="226" t="s">
        <v>420</v>
      </c>
      <c r="F43" s="230" t="s">
        <v>589</v>
      </c>
    </row>
    <row r="44" spans="1:6" x14ac:dyDescent="0.25">
      <c r="A44" s="60" t="s">
        <v>415</v>
      </c>
      <c r="B44" s="24" t="s">
        <v>416</v>
      </c>
      <c r="C44" s="5" t="str">
        <f>"619216590608"</f>
        <v>619216590608</v>
      </c>
      <c r="D44" s="9">
        <v>6.8129999999999997</v>
      </c>
      <c r="E44" s="226" t="s">
        <v>420</v>
      </c>
      <c r="F44" s="230" t="s">
        <v>590</v>
      </c>
    </row>
    <row r="45" spans="1:6" x14ac:dyDescent="0.25">
      <c r="A45" s="60" t="s">
        <v>415</v>
      </c>
      <c r="B45" s="24" t="s">
        <v>416</v>
      </c>
      <c r="C45" s="5" t="str">
        <f>"619216590604"</f>
        <v>619216590604</v>
      </c>
      <c r="D45" s="9">
        <v>6.8</v>
      </c>
      <c r="E45" s="226" t="s">
        <v>420</v>
      </c>
      <c r="F45" s="230" t="s">
        <v>591</v>
      </c>
    </row>
    <row r="46" spans="1:6" x14ac:dyDescent="0.25">
      <c r="A46" s="60" t="s">
        <v>415</v>
      </c>
      <c r="B46" s="24" t="s">
        <v>416</v>
      </c>
      <c r="C46" s="5" t="str">
        <f>"619216590602"</f>
        <v>619216590602</v>
      </c>
      <c r="D46" s="9">
        <v>6.6079999999999997</v>
      </c>
      <c r="E46" s="226" t="s">
        <v>420</v>
      </c>
      <c r="F46" s="230" t="s">
        <v>592</v>
      </c>
    </row>
    <row r="47" spans="1:6" x14ac:dyDescent="0.25">
      <c r="A47" s="60" t="s">
        <v>415</v>
      </c>
      <c r="B47" s="24" t="s">
        <v>416</v>
      </c>
      <c r="C47" s="5" t="str">
        <f>"619216590607"</f>
        <v>619216590607</v>
      </c>
      <c r="D47" s="9">
        <v>6.4210000000000003</v>
      </c>
      <c r="E47" s="226" t="s">
        <v>420</v>
      </c>
      <c r="F47" s="230" t="s">
        <v>593</v>
      </c>
    </row>
    <row r="48" spans="1:6" x14ac:dyDescent="0.25">
      <c r="A48" s="60" t="s">
        <v>415</v>
      </c>
      <c r="B48" s="24" t="s">
        <v>416</v>
      </c>
      <c r="C48" s="5" t="str">
        <f>"619216590605"</f>
        <v>619216590605</v>
      </c>
      <c r="D48" s="9">
        <v>6.2750000000000004</v>
      </c>
      <c r="E48" s="226" t="s">
        <v>420</v>
      </c>
      <c r="F48" s="230" t="s">
        <v>594</v>
      </c>
    </row>
    <row r="49" spans="1:6" ht="15.75" thickBot="1" x14ac:dyDescent="0.3">
      <c r="A49" s="61" t="s">
        <v>415</v>
      </c>
      <c r="B49" s="128" t="s">
        <v>416</v>
      </c>
      <c r="C49" s="44" t="str">
        <f>"619216370603"</f>
        <v>619216370603</v>
      </c>
      <c r="D49" s="45">
        <v>6.242</v>
      </c>
      <c r="E49" s="234" t="s">
        <v>420</v>
      </c>
      <c r="F49" s="231" t="s">
        <v>595</v>
      </c>
    </row>
    <row r="50" spans="1:6" x14ac:dyDescent="0.25">
      <c r="A50" s="130" t="s">
        <v>435</v>
      </c>
      <c r="B50" s="132" t="s">
        <v>436</v>
      </c>
      <c r="C50" s="48" t="str">
        <f>"619216590853"</f>
        <v>619216590853</v>
      </c>
      <c r="D50" s="38">
        <v>7.5640000000000001</v>
      </c>
      <c r="E50" s="228" t="s">
        <v>419</v>
      </c>
      <c r="F50" s="229" t="s">
        <v>578</v>
      </c>
    </row>
    <row r="51" spans="1:6" ht="15.75" thickBot="1" x14ac:dyDescent="0.3">
      <c r="A51" s="131" t="s">
        <v>435</v>
      </c>
      <c r="B51" s="133" t="s">
        <v>436</v>
      </c>
      <c r="C51" s="44" t="str">
        <f>"619216590854"</f>
        <v>619216590854</v>
      </c>
      <c r="D51" s="45">
        <v>7.4</v>
      </c>
      <c r="E51" s="260" t="s">
        <v>419</v>
      </c>
      <c r="F51" s="231" t="s">
        <v>579</v>
      </c>
    </row>
    <row r="52" spans="1:6" x14ac:dyDescent="0.25">
      <c r="A52" s="130" t="s">
        <v>601</v>
      </c>
      <c r="B52" s="132" t="s">
        <v>602</v>
      </c>
      <c r="C52" s="48" t="s">
        <v>603</v>
      </c>
      <c r="D52" s="38">
        <v>8.5</v>
      </c>
      <c r="E52" s="228" t="s">
        <v>419</v>
      </c>
      <c r="F52" s="229" t="s">
        <v>578</v>
      </c>
    </row>
    <row r="53" spans="1:6" x14ac:dyDescent="0.25">
      <c r="A53" s="259" t="s">
        <v>601</v>
      </c>
      <c r="B53" s="258" t="s">
        <v>602</v>
      </c>
      <c r="C53" s="5" t="s">
        <v>604</v>
      </c>
      <c r="D53" s="9">
        <v>8.2959999999999994</v>
      </c>
      <c r="E53" s="225" t="s">
        <v>419</v>
      </c>
      <c r="F53" s="230" t="s">
        <v>579</v>
      </c>
    </row>
    <row r="54" spans="1:6" x14ac:dyDescent="0.25">
      <c r="A54" s="259" t="s">
        <v>601</v>
      </c>
      <c r="B54" s="258" t="s">
        <v>602</v>
      </c>
      <c r="C54" s="5" t="s">
        <v>605</v>
      </c>
      <c r="D54" s="9">
        <v>7.78</v>
      </c>
      <c r="E54" s="225" t="s">
        <v>419</v>
      </c>
      <c r="F54" s="230" t="s">
        <v>580</v>
      </c>
    </row>
    <row r="55" spans="1:6" x14ac:dyDescent="0.25">
      <c r="A55" s="259" t="s">
        <v>601</v>
      </c>
      <c r="B55" s="258" t="s">
        <v>602</v>
      </c>
      <c r="C55" s="5" t="s">
        <v>606</v>
      </c>
      <c r="D55" s="9">
        <v>7.4</v>
      </c>
      <c r="E55" s="225" t="s">
        <v>419</v>
      </c>
      <c r="F55" s="230" t="s">
        <v>581</v>
      </c>
    </row>
    <row r="56" spans="1:6" ht="15.75" thickBot="1" x14ac:dyDescent="0.3">
      <c r="A56" s="384" t="s">
        <v>601</v>
      </c>
      <c r="B56" s="133" t="s">
        <v>602</v>
      </c>
      <c r="C56" s="106" t="str">
        <f>"619216591463"</f>
        <v>619216591463</v>
      </c>
      <c r="D56" s="292">
        <v>7.33</v>
      </c>
      <c r="E56" s="383" t="s">
        <v>420</v>
      </c>
      <c r="F56" s="231" t="s">
        <v>582</v>
      </c>
    </row>
    <row r="57" spans="1:6" x14ac:dyDescent="0.25">
      <c r="A57" s="385" t="s">
        <v>736</v>
      </c>
      <c r="B57" s="24" t="s">
        <v>10</v>
      </c>
      <c r="C57" s="5" t="str">
        <f>"619217591891"</f>
        <v>619217591891</v>
      </c>
      <c r="D57" s="2">
        <v>7.9</v>
      </c>
      <c r="E57" s="225" t="s">
        <v>419</v>
      </c>
      <c r="F57" s="229" t="s">
        <v>578</v>
      </c>
    </row>
    <row r="58" spans="1:6" x14ac:dyDescent="0.25">
      <c r="A58" s="385" t="s">
        <v>736</v>
      </c>
      <c r="B58" s="24" t="s">
        <v>10</v>
      </c>
      <c r="C58" s="5" t="str">
        <f>"619217591890"</f>
        <v>619217591890</v>
      </c>
      <c r="D58" s="2">
        <v>7.7409999999999997</v>
      </c>
      <c r="E58" s="225" t="s">
        <v>419</v>
      </c>
      <c r="F58" s="5" t="s">
        <v>579</v>
      </c>
    </row>
    <row r="59" spans="1:6" x14ac:dyDescent="0.25">
      <c r="A59" s="385" t="s">
        <v>736</v>
      </c>
      <c r="B59" s="24" t="s">
        <v>10</v>
      </c>
      <c r="C59" s="5" t="str">
        <f>"619217591889"</f>
        <v>619217591889</v>
      </c>
      <c r="D59" s="2">
        <v>7.35</v>
      </c>
      <c r="E59" s="225" t="s">
        <v>419</v>
      </c>
      <c r="F59" s="386" t="s">
        <v>580</v>
      </c>
    </row>
    <row r="60" spans="1:6" x14ac:dyDescent="0.25">
      <c r="A60" s="385" t="s">
        <v>736</v>
      </c>
      <c r="B60" s="24" t="s">
        <v>10</v>
      </c>
      <c r="C60" s="5" t="str">
        <f>"619217591892"</f>
        <v>619217591892</v>
      </c>
      <c r="D60" s="2">
        <v>7.3360000000000003</v>
      </c>
      <c r="E60" s="225" t="s">
        <v>419</v>
      </c>
      <c r="F60" s="230" t="s">
        <v>581</v>
      </c>
    </row>
    <row r="61" spans="1:6" x14ac:dyDescent="0.25">
      <c r="A61" s="385" t="s">
        <v>736</v>
      </c>
      <c r="B61" s="24" t="s">
        <v>10</v>
      </c>
      <c r="C61" s="5" t="str">
        <f>"619217591893"</f>
        <v>619217591893</v>
      </c>
      <c r="D61" s="2">
        <v>7.3319999999999999</v>
      </c>
      <c r="E61" s="225" t="s">
        <v>419</v>
      </c>
      <c r="F61" s="230" t="s">
        <v>582</v>
      </c>
    </row>
    <row r="62" spans="1:6" x14ac:dyDescent="0.25">
      <c r="A62" s="385" t="s">
        <v>736</v>
      </c>
      <c r="B62" s="24" t="s">
        <v>10</v>
      </c>
      <c r="C62" s="5" t="str">
        <f>"619217591894"</f>
        <v>619217591894</v>
      </c>
      <c r="D62" s="2">
        <v>7.1769999999999996</v>
      </c>
      <c r="E62" s="225" t="s">
        <v>419</v>
      </c>
      <c r="F62" s="230" t="s">
        <v>583</v>
      </c>
    </row>
    <row r="63" spans="1:6" ht="15.75" thickBot="1" x14ac:dyDescent="0.3">
      <c r="A63" s="472" t="s">
        <v>736</v>
      </c>
      <c r="B63" s="473" t="s">
        <v>10</v>
      </c>
      <c r="C63" s="106" t="str">
        <f>"619217591895"</f>
        <v>619217591895</v>
      </c>
      <c r="D63" s="179">
        <v>6.7770000000000001</v>
      </c>
      <c r="E63" s="366" t="s">
        <v>419</v>
      </c>
      <c r="F63" s="471" t="s">
        <v>584</v>
      </c>
    </row>
    <row r="64" spans="1:6" ht="15.75" thickBot="1" x14ac:dyDescent="0.3">
      <c r="A64" s="474" t="s">
        <v>751</v>
      </c>
      <c r="B64" s="188" t="s">
        <v>9</v>
      </c>
      <c r="C64" s="49" t="str">
        <f>"619217592048"</f>
        <v>619217592048</v>
      </c>
      <c r="D64" s="49">
        <v>8.4499999999999993</v>
      </c>
      <c r="E64" s="475" t="s">
        <v>419</v>
      </c>
      <c r="F64" s="246" t="s">
        <v>578</v>
      </c>
    </row>
    <row r="65" spans="1:7" ht="15.75" thickBot="1" x14ac:dyDescent="0.3">
      <c r="A65" s="476" t="s">
        <v>751</v>
      </c>
      <c r="B65" s="181" t="s">
        <v>9</v>
      </c>
      <c r="C65" s="2" t="str">
        <f>"619217592049"</f>
        <v>619217592049</v>
      </c>
      <c r="D65" s="2">
        <v>8.16</v>
      </c>
      <c r="E65" s="260" t="s">
        <v>419</v>
      </c>
      <c r="F65" s="247" t="s">
        <v>579</v>
      </c>
    </row>
    <row r="66" spans="1:7" ht="15.75" thickBot="1" x14ac:dyDescent="0.3">
      <c r="A66" s="476" t="s">
        <v>751</v>
      </c>
      <c r="B66" s="181" t="s">
        <v>9</v>
      </c>
      <c r="C66" s="2" t="str">
        <f>"619217592050"</f>
        <v>619217592050</v>
      </c>
      <c r="D66" s="2">
        <v>8.1199999999999992</v>
      </c>
      <c r="E66" s="260" t="s">
        <v>419</v>
      </c>
      <c r="F66" s="247" t="s">
        <v>580</v>
      </c>
    </row>
    <row r="67" spans="1:7" ht="15.75" thickBot="1" x14ac:dyDescent="0.3">
      <c r="A67" s="477" t="s">
        <v>751</v>
      </c>
      <c r="B67" s="181" t="s">
        <v>9</v>
      </c>
      <c r="C67" s="2" t="str">
        <f>"619217592051"</f>
        <v>619217592051</v>
      </c>
      <c r="D67" s="2">
        <v>7.96</v>
      </c>
      <c r="E67" s="260" t="s">
        <v>419</v>
      </c>
      <c r="F67" s="247" t="s">
        <v>581</v>
      </c>
    </row>
    <row r="68" spans="1:7" ht="15.75" thickBot="1" x14ac:dyDescent="0.3">
      <c r="A68" s="476" t="s">
        <v>751</v>
      </c>
      <c r="B68" s="181" t="s">
        <v>9</v>
      </c>
      <c r="C68" s="2" t="str">
        <f>"619217592052"</f>
        <v>619217592052</v>
      </c>
      <c r="D68" s="400">
        <v>7.95</v>
      </c>
      <c r="E68" s="260" t="s">
        <v>419</v>
      </c>
      <c r="F68" s="247" t="s">
        <v>582</v>
      </c>
    </row>
    <row r="69" spans="1:7" ht="15.75" thickBot="1" x14ac:dyDescent="0.3">
      <c r="A69" s="476" t="s">
        <v>751</v>
      </c>
      <c r="B69" s="181" t="s">
        <v>9</v>
      </c>
      <c r="C69" s="2" t="str">
        <f>"619217592053"</f>
        <v>619217592053</v>
      </c>
      <c r="D69" s="400">
        <v>7.89</v>
      </c>
      <c r="E69" s="260" t="s">
        <v>419</v>
      </c>
      <c r="F69" s="247" t="s">
        <v>583</v>
      </c>
    </row>
    <row r="70" spans="1:7" ht="15.75" thickBot="1" x14ac:dyDescent="0.3">
      <c r="A70" s="476" t="s">
        <v>751</v>
      </c>
      <c r="B70" s="181" t="s">
        <v>9</v>
      </c>
      <c r="C70" s="2" t="str">
        <f>"619217592054"</f>
        <v>619217592054</v>
      </c>
      <c r="D70" s="400">
        <v>7.82</v>
      </c>
      <c r="E70" s="260" t="s">
        <v>419</v>
      </c>
      <c r="F70" s="247" t="s">
        <v>584</v>
      </c>
    </row>
    <row r="71" spans="1:7" ht="15.75" thickBot="1" x14ac:dyDescent="0.3">
      <c r="A71" s="478" t="s">
        <v>751</v>
      </c>
      <c r="B71" s="401" t="s">
        <v>9</v>
      </c>
      <c r="C71" s="400" t="str">
        <f>"619217592055"</f>
        <v>619217592055</v>
      </c>
      <c r="D71" s="400">
        <v>7.15</v>
      </c>
      <c r="E71" s="260" t="s">
        <v>419</v>
      </c>
      <c r="F71" s="247" t="s">
        <v>585</v>
      </c>
    </row>
    <row r="72" spans="1:7" x14ac:dyDescent="0.25">
      <c r="A72" s="95" t="s">
        <v>751</v>
      </c>
      <c r="B72" s="2" t="s">
        <v>9</v>
      </c>
      <c r="C72" s="2" t="str">
        <f>"619217592056"</f>
        <v>619217592056</v>
      </c>
      <c r="D72" s="2">
        <v>7.06</v>
      </c>
      <c r="E72" s="383" t="s">
        <v>420</v>
      </c>
      <c r="F72" s="247" t="s">
        <v>586</v>
      </c>
    </row>
    <row r="73" spans="1:7" x14ac:dyDescent="0.25">
      <c r="A73" s="95" t="s">
        <v>751</v>
      </c>
      <c r="B73" s="2" t="s">
        <v>9</v>
      </c>
      <c r="C73" s="2" t="str">
        <f>"619217592058"</f>
        <v>619217592058</v>
      </c>
      <c r="D73" s="2">
        <v>7</v>
      </c>
      <c r="E73" s="383" t="s">
        <v>420</v>
      </c>
      <c r="F73" s="247" t="s">
        <v>587</v>
      </c>
    </row>
    <row r="74" spans="1:7" x14ac:dyDescent="0.25">
      <c r="A74" s="95" t="s">
        <v>751</v>
      </c>
      <c r="B74" s="2" t="s">
        <v>9</v>
      </c>
      <c r="C74" s="2" t="str">
        <f>"619217592057"</f>
        <v>619217592057</v>
      </c>
      <c r="D74" s="2">
        <v>6.71</v>
      </c>
      <c r="E74" s="383" t="s">
        <v>420</v>
      </c>
      <c r="F74" s="247" t="s">
        <v>588</v>
      </c>
    </row>
    <row r="75" spans="1:7" x14ac:dyDescent="0.25">
      <c r="A75" s="95" t="s">
        <v>751</v>
      </c>
      <c r="B75" s="2" t="s">
        <v>9</v>
      </c>
      <c r="C75" s="2" t="str">
        <f>"619217592059"</f>
        <v>619217592059</v>
      </c>
      <c r="D75" s="2">
        <v>6.61</v>
      </c>
      <c r="E75" s="383" t="s">
        <v>420</v>
      </c>
      <c r="F75" s="247" t="s">
        <v>589</v>
      </c>
    </row>
    <row r="76" spans="1:7" x14ac:dyDescent="0.25">
      <c r="A76" s="95" t="s">
        <v>751</v>
      </c>
      <c r="B76" s="2" t="s">
        <v>9</v>
      </c>
      <c r="C76" s="2" t="str">
        <f>"619217592129"</f>
        <v>619217592129</v>
      </c>
      <c r="D76" s="2">
        <v>6.56</v>
      </c>
      <c r="E76" s="383" t="s">
        <v>420</v>
      </c>
      <c r="F76" s="247" t="s">
        <v>590</v>
      </c>
    </row>
    <row r="77" spans="1:7" ht="15.75" thickBot="1" x14ac:dyDescent="0.3">
      <c r="A77" s="384" t="s">
        <v>751</v>
      </c>
      <c r="B77" s="179" t="s">
        <v>9</v>
      </c>
      <c r="C77" s="179" t="str">
        <f>"619217592060"</f>
        <v>619217592060</v>
      </c>
      <c r="D77" s="179">
        <v>6.3</v>
      </c>
      <c r="E77" s="383" t="s">
        <v>420</v>
      </c>
      <c r="F77" s="373" t="s">
        <v>591</v>
      </c>
    </row>
    <row r="78" spans="1:7" x14ac:dyDescent="0.25">
      <c r="A78" s="485" t="s">
        <v>871</v>
      </c>
      <c r="B78" s="346" t="s">
        <v>872</v>
      </c>
      <c r="C78" s="49" t="str">
        <f>"619217592177"</f>
        <v>619217592177</v>
      </c>
      <c r="D78" s="49">
        <v>8.0640000000000001</v>
      </c>
      <c r="E78" s="228" t="s">
        <v>419</v>
      </c>
      <c r="F78" s="5" t="s">
        <v>578</v>
      </c>
      <c r="G78" s="6"/>
    </row>
    <row r="79" spans="1:7" x14ac:dyDescent="0.25">
      <c r="A79" s="477" t="s">
        <v>871</v>
      </c>
      <c r="B79" s="342" t="s">
        <v>872</v>
      </c>
      <c r="C79" s="2" t="str">
        <f>"619217372176"</f>
        <v>619217372176</v>
      </c>
      <c r="D79" s="2">
        <v>6.8090000000000002</v>
      </c>
      <c r="E79" s="225" t="s">
        <v>419</v>
      </c>
      <c r="F79" s="5" t="s">
        <v>581</v>
      </c>
      <c r="G79" s="6"/>
    </row>
    <row r="80" spans="1:7" x14ac:dyDescent="0.25">
      <c r="A80" s="477" t="s">
        <v>871</v>
      </c>
      <c r="B80" s="342" t="s">
        <v>872</v>
      </c>
      <c r="C80" s="2" t="str">
        <f>"619217372172"</f>
        <v>619217372172</v>
      </c>
      <c r="D80" s="2">
        <v>7.8949999999999996</v>
      </c>
      <c r="E80" s="225" t="s">
        <v>419</v>
      </c>
      <c r="F80" s="5" t="s">
        <v>579</v>
      </c>
      <c r="G80" s="6"/>
    </row>
    <row r="81" spans="1:7" x14ac:dyDescent="0.25">
      <c r="A81" s="477" t="s">
        <v>871</v>
      </c>
      <c r="B81" s="342" t="s">
        <v>872</v>
      </c>
      <c r="C81" s="2" t="str">
        <f>"619217592171"</f>
        <v>619217592171</v>
      </c>
      <c r="D81" s="2">
        <v>7.1970000000000001</v>
      </c>
      <c r="E81" s="225" t="s">
        <v>419</v>
      </c>
      <c r="F81" s="5" t="s">
        <v>580</v>
      </c>
      <c r="G81" s="6"/>
    </row>
    <row r="82" spans="1:7" x14ac:dyDescent="0.25">
      <c r="A82" s="477" t="s">
        <v>873</v>
      </c>
      <c r="B82" s="180" t="s">
        <v>608</v>
      </c>
      <c r="C82" s="2" t="str">
        <f>"619217592356"</f>
        <v>619217592356</v>
      </c>
      <c r="D82" s="2">
        <v>7.33</v>
      </c>
      <c r="E82" s="225" t="s">
        <v>419</v>
      </c>
      <c r="F82" s="5" t="s">
        <v>579</v>
      </c>
      <c r="G82" s="6"/>
    </row>
    <row r="83" spans="1:7" x14ac:dyDescent="0.25">
      <c r="A83" s="477" t="s">
        <v>873</v>
      </c>
      <c r="B83" s="180" t="s">
        <v>608</v>
      </c>
      <c r="C83" s="2" t="str">
        <f>"619217592355"</f>
        <v>619217592355</v>
      </c>
      <c r="D83" s="2">
        <v>7.48</v>
      </c>
      <c r="E83" s="225" t="s">
        <v>419</v>
      </c>
      <c r="F83" s="5" t="s">
        <v>578</v>
      </c>
      <c r="G83" s="6"/>
    </row>
    <row r="84" spans="1:7" x14ac:dyDescent="0.25">
      <c r="A84" s="477" t="s">
        <v>874</v>
      </c>
      <c r="B84" s="180" t="s">
        <v>416</v>
      </c>
      <c r="C84" s="2" t="str">
        <f>"619217592585"</f>
        <v>619217592585</v>
      </c>
      <c r="D84" s="2">
        <v>7.3250000000000002</v>
      </c>
      <c r="E84" s="225" t="s">
        <v>419</v>
      </c>
      <c r="F84" s="5" t="s">
        <v>875</v>
      </c>
      <c r="G84" s="6"/>
    </row>
    <row r="85" spans="1:7" x14ac:dyDescent="0.25">
      <c r="A85" s="477" t="s">
        <v>874</v>
      </c>
      <c r="B85" s="180" t="s">
        <v>416</v>
      </c>
      <c r="C85" s="2" t="str">
        <f>"619217372584"</f>
        <v>619217372584</v>
      </c>
      <c r="D85" s="2">
        <v>7.3250000000000002</v>
      </c>
      <c r="E85" s="225" t="s">
        <v>419</v>
      </c>
      <c r="F85" s="5" t="s">
        <v>875</v>
      </c>
      <c r="G85" s="6"/>
    </row>
    <row r="86" spans="1:7" x14ac:dyDescent="0.25">
      <c r="A86" s="477" t="s">
        <v>874</v>
      </c>
      <c r="B86" s="180" t="s">
        <v>416</v>
      </c>
      <c r="C86" s="2" t="str">
        <f>"619217592583"</f>
        <v>619217592583</v>
      </c>
      <c r="D86" s="2">
        <v>7.367</v>
      </c>
      <c r="E86" s="225" t="s">
        <v>419</v>
      </c>
      <c r="F86" s="5" t="s">
        <v>584</v>
      </c>
      <c r="G86" s="6"/>
    </row>
    <row r="87" spans="1:7" x14ac:dyDescent="0.25">
      <c r="A87" s="477" t="s">
        <v>874</v>
      </c>
      <c r="B87" s="180" t="s">
        <v>416</v>
      </c>
      <c r="C87" s="2" t="str">
        <f>"619217592582"</f>
        <v>619217592582</v>
      </c>
      <c r="D87" s="2">
        <v>7.4539999999999997</v>
      </c>
      <c r="E87" s="225" t="s">
        <v>419</v>
      </c>
      <c r="F87" s="5" t="s">
        <v>583</v>
      </c>
      <c r="G87" s="6"/>
    </row>
    <row r="88" spans="1:7" x14ac:dyDescent="0.25">
      <c r="A88" s="477" t="s">
        <v>874</v>
      </c>
      <c r="B88" s="180" t="s">
        <v>416</v>
      </c>
      <c r="C88" s="2" t="str">
        <f>"619217592581"</f>
        <v>619217592581</v>
      </c>
      <c r="D88" s="2">
        <v>7.875</v>
      </c>
      <c r="E88" s="225" t="s">
        <v>419</v>
      </c>
      <c r="F88" s="5" t="s">
        <v>582</v>
      </c>
      <c r="G88" s="6"/>
    </row>
    <row r="89" spans="1:7" x14ac:dyDescent="0.25">
      <c r="A89" s="477" t="s">
        <v>874</v>
      </c>
      <c r="B89" s="180" t="s">
        <v>416</v>
      </c>
      <c r="C89" s="2" t="str">
        <f>"619217592580"</f>
        <v>619217592580</v>
      </c>
      <c r="D89" s="2">
        <v>8.1210000000000004</v>
      </c>
      <c r="E89" s="225" t="s">
        <v>419</v>
      </c>
      <c r="F89" s="5" t="s">
        <v>580</v>
      </c>
      <c r="G89" s="6"/>
    </row>
    <row r="90" spans="1:7" x14ac:dyDescent="0.25">
      <c r="A90" s="477" t="s">
        <v>874</v>
      </c>
      <c r="B90" s="180" t="s">
        <v>416</v>
      </c>
      <c r="C90" s="2" t="str">
        <f>"619217592579"</f>
        <v>619217592579</v>
      </c>
      <c r="D90" s="2">
        <v>8.1460000000000008</v>
      </c>
      <c r="E90" s="225" t="s">
        <v>419</v>
      </c>
      <c r="F90" s="5" t="s">
        <v>579</v>
      </c>
      <c r="G90" s="6"/>
    </row>
    <row r="91" spans="1:7" x14ac:dyDescent="0.25">
      <c r="A91" s="477" t="s">
        <v>874</v>
      </c>
      <c r="B91" s="180" t="s">
        <v>416</v>
      </c>
      <c r="C91" s="2" t="str">
        <f>"619217592578"</f>
        <v>619217592578</v>
      </c>
      <c r="D91" s="2">
        <v>8.2170000000000005</v>
      </c>
      <c r="E91" s="225" t="s">
        <v>419</v>
      </c>
      <c r="F91" s="5" t="s">
        <v>578</v>
      </c>
      <c r="G91" s="6"/>
    </row>
    <row r="92" spans="1:7" x14ac:dyDescent="0.25">
      <c r="A92" s="477" t="s">
        <v>874</v>
      </c>
      <c r="B92" s="180" t="s">
        <v>416</v>
      </c>
      <c r="C92" s="2" t="str">
        <f>"619217592577"</f>
        <v>619217592577</v>
      </c>
      <c r="D92" s="2">
        <v>7.9249999999999998</v>
      </c>
      <c r="E92" s="225" t="s">
        <v>419</v>
      </c>
      <c r="F92" s="5" t="s">
        <v>581</v>
      </c>
      <c r="G92" s="6"/>
    </row>
    <row r="93" spans="1:7" x14ac:dyDescent="0.25">
      <c r="A93" s="477" t="s">
        <v>874</v>
      </c>
      <c r="B93" s="180" t="s">
        <v>416</v>
      </c>
      <c r="C93" s="2" t="str">
        <f>"619217592591"</f>
        <v>619217592591</v>
      </c>
      <c r="D93" s="26">
        <v>6.5919999999999996</v>
      </c>
      <c r="E93" s="226" t="s">
        <v>420</v>
      </c>
      <c r="F93" s="5" t="s">
        <v>592</v>
      </c>
    </row>
    <row r="94" spans="1:7" x14ac:dyDescent="0.25">
      <c r="A94" s="477" t="s">
        <v>874</v>
      </c>
      <c r="B94" s="180" t="s">
        <v>416</v>
      </c>
      <c r="C94" s="2" t="str">
        <f>"619217592590"</f>
        <v>619217592590</v>
      </c>
      <c r="D94" s="26">
        <v>6.758</v>
      </c>
      <c r="E94" s="226" t="s">
        <v>420</v>
      </c>
      <c r="F94" s="5" t="s">
        <v>591</v>
      </c>
    </row>
    <row r="95" spans="1:7" x14ac:dyDescent="0.25">
      <c r="A95" s="477" t="s">
        <v>874</v>
      </c>
      <c r="B95" s="180" t="s">
        <v>416</v>
      </c>
      <c r="C95" s="2" t="str">
        <f>"619217592589"</f>
        <v>619217592589</v>
      </c>
      <c r="D95" s="26">
        <v>6.8789999999999996</v>
      </c>
      <c r="E95" s="226" t="s">
        <v>420</v>
      </c>
      <c r="F95" s="5" t="s">
        <v>590</v>
      </c>
    </row>
    <row r="96" spans="1:7" x14ac:dyDescent="0.25">
      <c r="A96" s="477" t="s">
        <v>874</v>
      </c>
      <c r="B96" s="180" t="s">
        <v>416</v>
      </c>
      <c r="C96" s="2" t="str">
        <f>"619217592588"</f>
        <v>619217592588</v>
      </c>
      <c r="D96" s="26">
        <v>7.0460000000000003</v>
      </c>
      <c r="E96" s="226" t="s">
        <v>420</v>
      </c>
      <c r="F96" s="5" t="s">
        <v>589</v>
      </c>
    </row>
    <row r="97" spans="1:6" x14ac:dyDescent="0.25">
      <c r="A97" s="477" t="s">
        <v>874</v>
      </c>
      <c r="B97" s="180" t="s">
        <v>416</v>
      </c>
      <c r="C97" s="2" t="str">
        <f>"619217592587"</f>
        <v>619217592587</v>
      </c>
      <c r="D97" s="26">
        <v>7.2039999999999997</v>
      </c>
      <c r="E97" s="226" t="s">
        <v>420</v>
      </c>
      <c r="F97" s="5" t="s">
        <v>588</v>
      </c>
    </row>
    <row r="98" spans="1:6" ht="15.75" thickBot="1" x14ac:dyDescent="0.3">
      <c r="A98" s="550" t="s">
        <v>874</v>
      </c>
      <c r="B98" s="545" t="s">
        <v>416</v>
      </c>
      <c r="C98" s="179" t="str">
        <f>"619217372586"</f>
        <v>619217372586</v>
      </c>
      <c r="D98" s="375">
        <v>7.2249999999999996</v>
      </c>
      <c r="E98" s="383" t="s">
        <v>420</v>
      </c>
      <c r="F98" s="106" t="s">
        <v>587</v>
      </c>
    </row>
    <row r="99" spans="1:6" x14ac:dyDescent="0.25">
      <c r="A99" s="548" t="s">
        <v>1063</v>
      </c>
      <c r="B99" s="547" t="s">
        <v>602</v>
      </c>
      <c r="C99" s="49" t="str">
        <f>"619217593019"</f>
        <v>619217593019</v>
      </c>
      <c r="D99" s="542">
        <v>7.9459999999999997</v>
      </c>
      <c r="E99" s="228" t="s">
        <v>419</v>
      </c>
      <c r="F99" s="246" t="s">
        <v>578</v>
      </c>
    </row>
    <row r="100" spans="1:6" x14ac:dyDescent="0.25">
      <c r="A100" s="549" t="s">
        <v>1063</v>
      </c>
      <c r="B100" s="546" t="s">
        <v>602</v>
      </c>
      <c r="C100" s="2" t="str">
        <f>"619217593018"</f>
        <v>619217593018</v>
      </c>
      <c r="D100" s="400">
        <v>7.9329999999999998</v>
      </c>
      <c r="E100" s="225" t="s">
        <v>419</v>
      </c>
      <c r="F100" s="247" t="s">
        <v>579</v>
      </c>
    </row>
    <row r="101" spans="1:6" x14ac:dyDescent="0.25">
      <c r="A101" s="549" t="s">
        <v>1063</v>
      </c>
      <c r="B101" s="546" t="s">
        <v>602</v>
      </c>
      <c r="C101" s="2" t="str">
        <f>"619217593017"</f>
        <v>619217593017</v>
      </c>
      <c r="D101" s="400">
        <v>7.9080000000000004</v>
      </c>
      <c r="E101" s="225" t="s">
        <v>419</v>
      </c>
      <c r="F101" s="247" t="s">
        <v>580</v>
      </c>
    </row>
    <row r="102" spans="1:6" ht="15.75" thickBot="1" x14ac:dyDescent="0.3">
      <c r="A102" s="551" t="s">
        <v>1063</v>
      </c>
      <c r="B102" s="552" t="s">
        <v>602</v>
      </c>
      <c r="C102" s="179" t="str">
        <f>"619217593020"</f>
        <v>619217593020</v>
      </c>
      <c r="D102" s="553">
        <v>7.7880000000000003</v>
      </c>
      <c r="E102" s="366" t="s">
        <v>419</v>
      </c>
      <c r="F102" s="373" t="s">
        <v>581</v>
      </c>
    </row>
    <row r="103" spans="1:6" x14ac:dyDescent="0.25">
      <c r="A103" s="368" t="s">
        <v>1064</v>
      </c>
      <c r="B103" s="547" t="s">
        <v>10</v>
      </c>
      <c r="C103" s="49" t="str">
        <f>"619217593130"</f>
        <v>619217593130</v>
      </c>
      <c r="D103" s="555">
        <v>7.7830000000000004</v>
      </c>
      <c r="E103" s="228" t="s">
        <v>419</v>
      </c>
      <c r="F103" s="246" t="s">
        <v>578</v>
      </c>
    </row>
    <row r="104" spans="1:6" x14ac:dyDescent="0.25">
      <c r="A104" s="50" t="s">
        <v>1064</v>
      </c>
      <c r="B104" s="546" t="s">
        <v>10</v>
      </c>
      <c r="C104" s="2" t="str">
        <f>"619217593129"</f>
        <v>619217593129</v>
      </c>
      <c r="D104" s="554">
        <v>7.508</v>
      </c>
      <c r="E104" s="225" t="s">
        <v>419</v>
      </c>
      <c r="F104" s="247" t="s">
        <v>579</v>
      </c>
    </row>
    <row r="105" spans="1:6" x14ac:dyDescent="0.25">
      <c r="A105" s="50" t="s">
        <v>1064</v>
      </c>
      <c r="B105" s="546" t="s">
        <v>10</v>
      </c>
      <c r="C105" s="2" t="str">
        <f>"619217593133"</f>
        <v>619217593133</v>
      </c>
      <c r="D105" s="554">
        <v>7.4960000000000004</v>
      </c>
      <c r="E105" s="225" t="s">
        <v>419</v>
      </c>
      <c r="F105" s="247" t="s">
        <v>580</v>
      </c>
    </row>
    <row r="106" spans="1:6" x14ac:dyDescent="0.25">
      <c r="A106" s="50" t="s">
        <v>1064</v>
      </c>
      <c r="B106" s="546" t="s">
        <v>10</v>
      </c>
      <c r="C106" s="2" t="str">
        <f>"619217593131"</f>
        <v>619217593131</v>
      </c>
      <c r="D106" s="554">
        <v>7.4210000000000003</v>
      </c>
      <c r="E106" s="225" t="s">
        <v>419</v>
      </c>
      <c r="F106" s="247" t="s">
        <v>581</v>
      </c>
    </row>
    <row r="107" spans="1:6" ht="15.75" thickBot="1" x14ac:dyDescent="0.3">
      <c r="A107" s="117" t="s">
        <v>1064</v>
      </c>
      <c r="B107" s="552" t="s">
        <v>10</v>
      </c>
      <c r="C107" s="179" t="str">
        <f>"619217593132"</f>
        <v>619217593132</v>
      </c>
      <c r="D107" s="574">
        <v>7.3959999999999999</v>
      </c>
      <c r="E107" s="366" t="s">
        <v>419</v>
      </c>
      <c r="F107" s="373" t="s">
        <v>582</v>
      </c>
    </row>
    <row r="108" spans="1:6" x14ac:dyDescent="0.25">
      <c r="A108" s="368" t="s">
        <v>1073</v>
      </c>
      <c r="B108" s="547" t="s">
        <v>416</v>
      </c>
      <c r="C108" s="49">
        <v>19201700014</v>
      </c>
      <c r="D108" s="49">
        <v>8.6300000000000008</v>
      </c>
      <c r="E108" s="575" t="s">
        <v>1074</v>
      </c>
      <c r="F108" s="229" t="s">
        <v>578</v>
      </c>
    </row>
    <row r="109" spans="1:6" x14ac:dyDescent="0.25">
      <c r="A109" s="370" t="s">
        <v>1073</v>
      </c>
      <c r="B109" s="546" t="s">
        <v>416</v>
      </c>
      <c r="C109" s="2">
        <v>19201700011</v>
      </c>
      <c r="D109" s="2">
        <v>8.48</v>
      </c>
      <c r="E109" s="301" t="s">
        <v>1074</v>
      </c>
      <c r="F109" s="230" t="s">
        <v>579</v>
      </c>
    </row>
    <row r="110" spans="1:6" x14ac:dyDescent="0.25">
      <c r="A110" s="370" t="s">
        <v>1073</v>
      </c>
      <c r="B110" s="546" t="s">
        <v>416</v>
      </c>
      <c r="C110" s="2">
        <v>19201700004</v>
      </c>
      <c r="D110" s="2">
        <v>8.36</v>
      </c>
      <c r="E110" s="301" t="s">
        <v>1074</v>
      </c>
      <c r="F110" s="230" t="s">
        <v>580</v>
      </c>
    </row>
    <row r="111" spans="1:6" x14ac:dyDescent="0.25">
      <c r="A111" s="370" t="s">
        <v>1073</v>
      </c>
      <c r="B111" s="546" t="s">
        <v>416</v>
      </c>
      <c r="C111" s="2">
        <v>19201700010</v>
      </c>
      <c r="D111" s="2">
        <v>8.3000000000000007</v>
      </c>
      <c r="E111" s="301" t="s">
        <v>1074</v>
      </c>
      <c r="F111" s="576" t="s">
        <v>581</v>
      </c>
    </row>
    <row r="112" spans="1:6" x14ac:dyDescent="0.25">
      <c r="A112" s="370" t="s">
        <v>1073</v>
      </c>
      <c r="B112" s="546" t="s">
        <v>416</v>
      </c>
      <c r="C112" s="2">
        <v>19201700003</v>
      </c>
      <c r="D112" s="2">
        <v>8.23</v>
      </c>
      <c r="E112" s="301" t="s">
        <v>1074</v>
      </c>
      <c r="F112" s="230" t="s">
        <v>582</v>
      </c>
    </row>
    <row r="113" spans="1:6" x14ac:dyDescent="0.25">
      <c r="A113" s="370" t="s">
        <v>1073</v>
      </c>
      <c r="B113" s="546" t="s">
        <v>416</v>
      </c>
      <c r="C113" s="2">
        <v>19201700008</v>
      </c>
      <c r="D113" s="2">
        <v>8.2200000000000006</v>
      </c>
      <c r="E113" s="301" t="s">
        <v>1074</v>
      </c>
      <c r="F113" s="230" t="s">
        <v>583</v>
      </c>
    </row>
    <row r="114" spans="1:6" x14ac:dyDescent="0.25">
      <c r="A114" s="370" t="s">
        <v>1073</v>
      </c>
      <c r="B114" s="546" t="s">
        <v>416</v>
      </c>
      <c r="C114" s="2">
        <v>19201700019</v>
      </c>
      <c r="D114" s="2">
        <v>8.2200000000000006</v>
      </c>
      <c r="E114" s="301" t="s">
        <v>1074</v>
      </c>
      <c r="F114" s="230" t="s">
        <v>584</v>
      </c>
    </row>
    <row r="115" spans="1:6" x14ac:dyDescent="0.25">
      <c r="A115" s="370" t="s">
        <v>1073</v>
      </c>
      <c r="B115" s="546" t="s">
        <v>416</v>
      </c>
      <c r="C115" s="2">
        <v>19201700006</v>
      </c>
      <c r="D115" s="2">
        <v>8.1199999999999992</v>
      </c>
      <c r="E115" s="301" t="s">
        <v>1074</v>
      </c>
      <c r="F115" s="230" t="s">
        <v>585</v>
      </c>
    </row>
    <row r="116" spans="1:6" x14ac:dyDescent="0.25">
      <c r="A116" s="370" t="s">
        <v>1073</v>
      </c>
      <c r="B116" s="546" t="s">
        <v>416</v>
      </c>
      <c r="C116" s="2">
        <v>19201700005</v>
      </c>
      <c r="D116" s="2">
        <v>7.91</v>
      </c>
      <c r="E116" s="301" t="s">
        <v>1074</v>
      </c>
      <c r="F116" s="230" t="s">
        <v>586</v>
      </c>
    </row>
    <row r="117" spans="1:6" x14ac:dyDescent="0.25">
      <c r="A117" s="370" t="s">
        <v>1073</v>
      </c>
      <c r="B117" s="546" t="s">
        <v>416</v>
      </c>
      <c r="C117" s="2">
        <v>19201700021</v>
      </c>
      <c r="D117" s="2">
        <v>7.88</v>
      </c>
      <c r="E117" s="226" t="s">
        <v>1075</v>
      </c>
      <c r="F117" s="230" t="s">
        <v>587</v>
      </c>
    </row>
    <row r="118" spans="1:6" x14ac:dyDescent="0.25">
      <c r="A118" s="370" t="s">
        <v>1073</v>
      </c>
      <c r="B118" s="546" t="s">
        <v>416</v>
      </c>
      <c r="C118" s="2">
        <v>19201700017</v>
      </c>
      <c r="D118" s="2">
        <v>7.71</v>
      </c>
      <c r="E118" s="226" t="s">
        <v>1075</v>
      </c>
      <c r="F118" s="230" t="s">
        <v>588</v>
      </c>
    </row>
    <row r="119" spans="1:6" x14ac:dyDescent="0.25">
      <c r="A119" s="370" t="s">
        <v>1073</v>
      </c>
      <c r="B119" s="546" t="s">
        <v>416</v>
      </c>
      <c r="C119" s="2">
        <v>19201700028</v>
      </c>
      <c r="D119" s="2">
        <v>7.67</v>
      </c>
      <c r="E119" s="226" t="s">
        <v>1075</v>
      </c>
      <c r="F119" s="230" t="s">
        <v>589</v>
      </c>
    </row>
    <row r="120" spans="1:6" x14ac:dyDescent="0.25">
      <c r="A120" s="370" t="s">
        <v>1073</v>
      </c>
      <c r="B120" s="546" t="s">
        <v>416</v>
      </c>
      <c r="C120" s="2">
        <v>19201700013</v>
      </c>
      <c r="D120" s="2">
        <v>7.63</v>
      </c>
      <c r="E120" s="226" t="s">
        <v>1075</v>
      </c>
      <c r="F120" s="230" t="s">
        <v>590</v>
      </c>
    </row>
    <row r="121" spans="1:6" x14ac:dyDescent="0.25">
      <c r="A121" s="370" t="s">
        <v>1073</v>
      </c>
      <c r="B121" s="546" t="s">
        <v>416</v>
      </c>
      <c r="C121" s="2">
        <v>19201700001</v>
      </c>
      <c r="D121" s="2">
        <v>7.62</v>
      </c>
      <c r="E121" s="226" t="s">
        <v>1075</v>
      </c>
      <c r="F121" s="230" t="s">
        <v>591</v>
      </c>
    </row>
    <row r="122" spans="1:6" x14ac:dyDescent="0.25">
      <c r="A122" s="370" t="s">
        <v>1073</v>
      </c>
      <c r="B122" s="546" t="s">
        <v>416</v>
      </c>
      <c r="C122" s="2">
        <v>19201700020</v>
      </c>
      <c r="D122" s="2">
        <v>7.6</v>
      </c>
      <c r="E122" s="226" t="s">
        <v>1075</v>
      </c>
      <c r="F122" s="230" t="s">
        <v>592</v>
      </c>
    </row>
    <row r="123" spans="1:6" x14ac:dyDescent="0.25">
      <c r="A123" s="370" t="s">
        <v>1073</v>
      </c>
      <c r="B123" s="546" t="s">
        <v>416</v>
      </c>
      <c r="C123" s="2">
        <v>19201700023</v>
      </c>
      <c r="D123" s="2">
        <v>7.45</v>
      </c>
      <c r="E123" s="226" t="s">
        <v>1075</v>
      </c>
      <c r="F123" s="230" t="s">
        <v>593</v>
      </c>
    </row>
    <row r="124" spans="1:6" x14ac:dyDescent="0.25">
      <c r="A124" s="370" t="s">
        <v>1073</v>
      </c>
      <c r="B124" s="546" t="s">
        <v>416</v>
      </c>
      <c r="C124" s="2">
        <v>19201700025</v>
      </c>
      <c r="D124" s="2">
        <v>7.39</v>
      </c>
      <c r="E124" s="226" t="s">
        <v>1075</v>
      </c>
      <c r="F124" s="230" t="s">
        <v>594</v>
      </c>
    </row>
    <row r="125" spans="1:6" x14ac:dyDescent="0.25">
      <c r="A125" s="370" t="s">
        <v>1073</v>
      </c>
      <c r="B125" s="546" t="s">
        <v>416</v>
      </c>
      <c r="C125" s="2">
        <v>19201700016</v>
      </c>
      <c r="D125" s="2">
        <v>7.31</v>
      </c>
      <c r="E125" s="226" t="s">
        <v>1075</v>
      </c>
      <c r="F125" s="230" t="s">
        <v>595</v>
      </c>
    </row>
    <row r="126" spans="1:6" x14ac:dyDescent="0.25">
      <c r="A126" s="370" t="s">
        <v>1073</v>
      </c>
      <c r="B126" s="546" t="s">
        <v>416</v>
      </c>
      <c r="C126" s="2">
        <v>19201700026</v>
      </c>
      <c r="D126" s="2">
        <v>7.26</v>
      </c>
      <c r="E126" s="226" t="s">
        <v>1075</v>
      </c>
      <c r="F126" s="230" t="s">
        <v>596</v>
      </c>
    </row>
    <row r="127" spans="1:6" x14ac:dyDescent="0.25">
      <c r="A127" s="370" t="s">
        <v>1073</v>
      </c>
      <c r="B127" s="546" t="s">
        <v>416</v>
      </c>
      <c r="C127" s="2">
        <v>19201700007</v>
      </c>
      <c r="D127" s="2">
        <v>7.15</v>
      </c>
      <c r="E127" s="226" t="s">
        <v>1075</v>
      </c>
      <c r="F127" s="230" t="s">
        <v>597</v>
      </c>
    </row>
    <row r="128" spans="1:6" x14ac:dyDescent="0.25">
      <c r="A128" s="370" t="s">
        <v>1073</v>
      </c>
      <c r="B128" s="546" t="s">
        <v>416</v>
      </c>
      <c r="C128" s="2">
        <v>19201700002</v>
      </c>
      <c r="D128" s="2">
        <v>7.13</v>
      </c>
      <c r="E128" s="226" t="s">
        <v>1075</v>
      </c>
      <c r="F128" s="230" t="s">
        <v>598</v>
      </c>
    </row>
    <row r="129" spans="1:6" x14ac:dyDescent="0.25">
      <c r="A129" s="370" t="s">
        <v>1073</v>
      </c>
      <c r="B129" s="546" t="s">
        <v>416</v>
      </c>
      <c r="C129" s="2">
        <v>19201700022</v>
      </c>
      <c r="D129" s="2">
        <v>7.09</v>
      </c>
      <c r="E129" s="226" t="s">
        <v>1075</v>
      </c>
      <c r="F129" s="230" t="s">
        <v>599</v>
      </c>
    </row>
    <row r="130" spans="1:6" x14ac:dyDescent="0.25">
      <c r="A130" s="370" t="s">
        <v>1073</v>
      </c>
      <c r="B130" s="546" t="s">
        <v>416</v>
      </c>
      <c r="C130" s="2">
        <v>19201700015</v>
      </c>
      <c r="D130" s="2">
        <v>6.86</v>
      </c>
      <c r="E130" s="226" t="s">
        <v>1075</v>
      </c>
      <c r="F130" s="230" t="s">
        <v>600</v>
      </c>
    </row>
    <row r="131" spans="1:6" x14ac:dyDescent="0.25">
      <c r="A131" s="370" t="s">
        <v>1073</v>
      </c>
      <c r="B131" s="546" t="s">
        <v>416</v>
      </c>
      <c r="C131" s="2">
        <v>19201700012</v>
      </c>
      <c r="D131" s="2">
        <v>6.85</v>
      </c>
      <c r="E131" s="226" t="s">
        <v>1075</v>
      </c>
      <c r="F131" s="230" t="s">
        <v>616</v>
      </c>
    </row>
    <row r="132" spans="1:6" x14ac:dyDescent="0.25">
      <c r="A132" s="370" t="s">
        <v>1073</v>
      </c>
      <c r="B132" s="546" t="s">
        <v>416</v>
      </c>
      <c r="C132" s="2">
        <v>19201700024</v>
      </c>
      <c r="D132" s="2">
        <v>6.77</v>
      </c>
      <c r="E132" s="226" t="s">
        <v>1075</v>
      </c>
      <c r="F132" s="230" t="s">
        <v>617</v>
      </c>
    </row>
    <row r="133" spans="1:6" x14ac:dyDescent="0.25">
      <c r="A133" s="370" t="s">
        <v>1073</v>
      </c>
      <c r="B133" s="546" t="s">
        <v>416</v>
      </c>
      <c r="C133" s="2">
        <v>19201700009</v>
      </c>
      <c r="D133" s="2">
        <v>6.42</v>
      </c>
      <c r="E133" s="226" t="s">
        <v>1075</v>
      </c>
      <c r="F133" s="230" t="s">
        <v>618</v>
      </c>
    </row>
    <row r="134" spans="1:6" x14ac:dyDescent="0.25">
      <c r="A134" s="370" t="s">
        <v>1073</v>
      </c>
      <c r="B134" s="546" t="s">
        <v>416</v>
      </c>
      <c r="C134" s="2">
        <v>19201700027</v>
      </c>
      <c r="D134" s="2">
        <v>6.41</v>
      </c>
      <c r="E134" s="226" t="s">
        <v>1075</v>
      </c>
      <c r="F134" s="230" t="s">
        <v>619</v>
      </c>
    </row>
    <row r="135" spans="1:6" ht="15.75" thickBot="1" x14ac:dyDescent="0.3">
      <c r="A135" s="372" t="s">
        <v>1073</v>
      </c>
      <c r="B135" s="552" t="s">
        <v>416</v>
      </c>
      <c r="C135" s="179">
        <v>19201700018</v>
      </c>
      <c r="D135" s="179">
        <v>6.4</v>
      </c>
      <c r="E135" s="383" t="s">
        <v>1075</v>
      </c>
      <c r="F135" s="471" t="s">
        <v>620</v>
      </c>
    </row>
    <row r="136" spans="1:6" x14ac:dyDescent="0.25">
      <c r="A136" s="368" t="s">
        <v>1076</v>
      </c>
      <c r="B136" s="547" t="s">
        <v>9</v>
      </c>
      <c r="C136" s="49">
        <v>19201700049</v>
      </c>
      <c r="D136" s="49">
        <v>8.26</v>
      </c>
      <c r="E136" s="575" t="s">
        <v>1074</v>
      </c>
      <c r="F136" s="229" t="s">
        <v>578</v>
      </c>
    </row>
    <row r="137" spans="1:6" x14ac:dyDescent="0.25">
      <c r="A137" s="370" t="s">
        <v>1076</v>
      </c>
      <c r="B137" s="546" t="s">
        <v>9</v>
      </c>
      <c r="C137" s="2">
        <v>19201700054</v>
      </c>
      <c r="D137" s="2">
        <v>8.1</v>
      </c>
      <c r="E137" s="301" t="s">
        <v>1074</v>
      </c>
      <c r="F137" s="230" t="s">
        <v>579</v>
      </c>
    </row>
    <row r="138" spans="1:6" x14ac:dyDescent="0.25">
      <c r="A138" s="370" t="s">
        <v>1076</v>
      </c>
      <c r="B138" s="546" t="s">
        <v>9</v>
      </c>
      <c r="C138" s="2">
        <v>19201700043</v>
      </c>
      <c r="D138" s="2">
        <v>8.09</v>
      </c>
      <c r="E138" s="301" t="s">
        <v>1074</v>
      </c>
      <c r="F138" s="230" t="s">
        <v>580</v>
      </c>
    </row>
    <row r="139" spans="1:6" x14ac:dyDescent="0.25">
      <c r="A139" s="370" t="s">
        <v>1076</v>
      </c>
      <c r="B139" s="546" t="s">
        <v>9</v>
      </c>
      <c r="C139" s="2">
        <v>19201700053</v>
      </c>
      <c r="D139" s="2">
        <v>7.99</v>
      </c>
      <c r="E139" s="301" t="s">
        <v>1074</v>
      </c>
      <c r="F139" s="576" t="s">
        <v>581</v>
      </c>
    </row>
    <row r="140" spans="1:6" x14ac:dyDescent="0.25">
      <c r="A140" s="370" t="s">
        <v>1076</v>
      </c>
      <c r="B140" s="546" t="s">
        <v>9</v>
      </c>
      <c r="C140" s="2">
        <v>19201700040</v>
      </c>
      <c r="D140" s="2">
        <v>7.7</v>
      </c>
      <c r="E140" s="301" t="s">
        <v>1074</v>
      </c>
      <c r="F140" s="230" t="s">
        <v>582</v>
      </c>
    </row>
    <row r="141" spans="1:6" x14ac:dyDescent="0.25">
      <c r="A141" s="370" t="s">
        <v>1076</v>
      </c>
      <c r="B141" s="546" t="s">
        <v>9</v>
      </c>
      <c r="C141" s="2">
        <v>19201700048</v>
      </c>
      <c r="D141" s="2">
        <v>7.7</v>
      </c>
      <c r="E141" s="301" t="s">
        <v>1074</v>
      </c>
      <c r="F141" s="230" t="s">
        <v>583</v>
      </c>
    </row>
    <row r="142" spans="1:6" x14ac:dyDescent="0.25">
      <c r="A142" s="370" t="s">
        <v>1076</v>
      </c>
      <c r="B142" s="546" t="s">
        <v>9</v>
      </c>
      <c r="C142" s="2">
        <v>19201700041</v>
      </c>
      <c r="D142" s="2">
        <v>7.66</v>
      </c>
      <c r="E142" s="301" t="s">
        <v>1074</v>
      </c>
      <c r="F142" s="230" t="s">
        <v>584</v>
      </c>
    </row>
    <row r="143" spans="1:6" x14ac:dyDescent="0.25">
      <c r="A143" s="370" t="s">
        <v>1076</v>
      </c>
      <c r="B143" s="546" t="s">
        <v>9</v>
      </c>
      <c r="C143" s="2">
        <v>19201700044</v>
      </c>
      <c r="D143" s="2">
        <v>7.65</v>
      </c>
      <c r="E143" s="301" t="s">
        <v>1074</v>
      </c>
      <c r="F143" s="230" t="s">
        <v>585</v>
      </c>
    </row>
    <row r="144" spans="1:6" x14ac:dyDescent="0.25">
      <c r="A144" s="370" t="s">
        <v>1076</v>
      </c>
      <c r="B144" s="546" t="s">
        <v>9</v>
      </c>
      <c r="C144" s="2">
        <v>19201700055</v>
      </c>
      <c r="D144" s="2">
        <v>7.47</v>
      </c>
      <c r="E144" s="301" t="s">
        <v>1074</v>
      </c>
      <c r="F144" s="230" t="s">
        <v>586</v>
      </c>
    </row>
    <row r="145" spans="1:6" x14ac:dyDescent="0.25">
      <c r="A145" s="370" t="s">
        <v>1076</v>
      </c>
      <c r="B145" s="546" t="s">
        <v>9</v>
      </c>
      <c r="C145" s="2">
        <v>19201700045</v>
      </c>
      <c r="D145" s="2">
        <v>7.44</v>
      </c>
      <c r="E145" s="301" t="s">
        <v>1074</v>
      </c>
      <c r="F145" s="230" t="s">
        <v>587</v>
      </c>
    </row>
    <row r="146" spans="1:6" x14ac:dyDescent="0.25">
      <c r="A146" s="370" t="s">
        <v>1076</v>
      </c>
      <c r="B146" s="546" t="s">
        <v>9</v>
      </c>
      <c r="C146" s="2">
        <v>19201700042</v>
      </c>
      <c r="D146" s="2">
        <v>7.27</v>
      </c>
      <c r="E146" s="226" t="s">
        <v>1075</v>
      </c>
      <c r="F146" s="230" t="s">
        <v>588</v>
      </c>
    </row>
    <row r="147" spans="1:6" x14ac:dyDescent="0.25">
      <c r="A147" s="370" t="s">
        <v>1076</v>
      </c>
      <c r="B147" s="546" t="s">
        <v>9</v>
      </c>
      <c r="C147" s="2">
        <v>19201700046</v>
      </c>
      <c r="D147" s="2">
        <v>7.16</v>
      </c>
      <c r="E147" s="301" t="s">
        <v>1074</v>
      </c>
      <c r="F147" s="230" t="s">
        <v>589</v>
      </c>
    </row>
    <row r="148" spans="1:6" x14ac:dyDescent="0.25">
      <c r="A148" s="370" t="s">
        <v>1076</v>
      </c>
      <c r="B148" s="546" t="s">
        <v>9</v>
      </c>
      <c r="C148" s="2">
        <v>19201700051</v>
      </c>
      <c r="D148" s="2">
        <v>7.1</v>
      </c>
      <c r="E148" s="226" t="s">
        <v>1075</v>
      </c>
      <c r="F148" s="230" t="s">
        <v>590</v>
      </c>
    </row>
    <row r="149" spans="1:6" x14ac:dyDescent="0.25">
      <c r="A149" s="372" t="s">
        <v>1076</v>
      </c>
      <c r="B149" s="552" t="s">
        <v>9</v>
      </c>
      <c r="C149" s="179">
        <v>19201700050</v>
      </c>
      <c r="D149" s="179">
        <v>7.03</v>
      </c>
      <c r="E149" s="383" t="s">
        <v>1075</v>
      </c>
      <c r="F149" s="471" t="s">
        <v>591</v>
      </c>
    </row>
    <row r="150" spans="1:6" x14ac:dyDescent="0.25">
      <c r="A150" s="371" t="s">
        <v>1111</v>
      </c>
      <c r="B150" s="546" t="s">
        <v>602</v>
      </c>
      <c r="C150" s="2">
        <v>19201800545</v>
      </c>
      <c r="D150" s="2">
        <v>7.45</v>
      </c>
      <c r="E150" s="301" t="s">
        <v>1074</v>
      </c>
      <c r="F150" s="5" t="s">
        <v>1113</v>
      </c>
    </row>
    <row r="151" spans="1:6" x14ac:dyDescent="0.25">
      <c r="A151" s="371" t="s">
        <v>1111</v>
      </c>
      <c r="B151" s="546" t="s">
        <v>602</v>
      </c>
      <c r="C151" s="2">
        <v>19201800549</v>
      </c>
      <c r="D151" s="2">
        <v>7.45</v>
      </c>
      <c r="E151" s="301" t="s">
        <v>1074</v>
      </c>
      <c r="F151" s="5" t="s">
        <v>1113</v>
      </c>
    </row>
    <row r="152" spans="1:6" x14ac:dyDescent="0.25">
      <c r="A152" s="371" t="s">
        <v>1112</v>
      </c>
      <c r="B152" s="546" t="s">
        <v>9</v>
      </c>
      <c r="C152" s="2">
        <v>19201800351</v>
      </c>
      <c r="D152" s="2">
        <v>8.5299999999999994</v>
      </c>
      <c r="E152" s="301" t="s">
        <v>1074</v>
      </c>
      <c r="F152" s="5" t="s">
        <v>578</v>
      </c>
    </row>
    <row r="153" spans="1:6" x14ac:dyDescent="0.25">
      <c r="A153" s="371" t="s">
        <v>1112</v>
      </c>
      <c r="B153" s="546" t="s">
        <v>9</v>
      </c>
      <c r="C153" s="2">
        <v>19201800436</v>
      </c>
      <c r="D153" s="2">
        <v>8.39</v>
      </c>
      <c r="E153" s="301" t="s">
        <v>1074</v>
      </c>
      <c r="F153" s="5" t="s">
        <v>579</v>
      </c>
    </row>
    <row r="154" spans="1:6" x14ac:dyDescent="0.25">
      <c r="A154" s="371" t="s">
        <v>1112</v>
      </c>
      <c r="B154" s="546" t="s">
        <v>9</v>
      </c>
      <c r="C154" s="2">
        <v>19201800365</v>
      </c>
      <c r="D154" s="2">
        <v>8.24</v>
      </c>
      <c r="E154" s="301" t="s">
        <v>1074</v>
      </c>
      <c r="F154" s="5" t="s">
        <v>580</v>
      </c>
    </row>
    <row r="155" spans="1:6" x14ac:dyDescent="0.25">
      <c r="A155" s="371" t="s">
        <v>1112</v>
      </c>
      <c r="B155" s="546" t="s">
        <v>9</v>
      </c>
      <c r="C155" s="2">
        <v>19201800347</v>
      </c>
      <c r="D155" s="2">
        <v>8.0399999999999991</v>
      </c>
      <c r="E155" s="301" t="s">
        <v>1074</v>
      </c>
      <c r="F155" s="609" t="s">
        <v>581</v>
      </c>
    </row>
    <row r="156" spans="1:6" x14ac:dyDescent="0.25">
      <c r="A156" s="371" t="s">
        <v>1112</v>
      </c>
      <c r="B156" s="546" t="s">
        <v>9</v>
      </c>
      <c r="C156" s="2">
        <v>19201800345</v>
      </c>
      <c r="D156" s="2">
        <v>7.45</v>
      </c>
      <c r="E156" s="301" t="s">
        <v>1074</v>
      </c>
      <c r="F156" s="5" t="s">
        <v>582</v>
      </c>
    </row>
    <row r="157" spans="1:6" x14ac:dyDescent="0.25">
      <c r="A157" s="371" t="s">
        <v>1112</v>
      </c>
      <c r="B157" s="546" t="s">
        <v>9</v>
      </c>
      <c r="C157" s="2">
        <v>19201800346</v>
      </c>
      <c r="D157" s="2">
        <v>7.07</v>
      </c>
      <c r="E157" s="301" t="s">
        <v>1074</v>
      </c>
      <c r="F157" s="5" t="s">
        <v>583</v>
      </c>
    </row>
    <row r="158" spans="1:6" x14ac:dyDescent="0.25">
      <c r="A158" s="371" t="s">
        <v>1112</v>
      </c>
      <c r="B158" s="546" t="s">
        <v>9</v>
      </c>
      <c r="C158" s="2">
        <v>19201800433</v>
      </c>
      <c r="D158" s="2">
        <v>6.96</v>
      </c>
      <c r="E158" s="301" t="s">
        <v>1074</v>
      </c>
      <c r="F158" s="5" t="s">
        <v>584</v>
      </c>
    </row>
    <row r="159" spans="1:6" ht="15.75" thickBot="1" x14ac:dyDescent="0.3">
      <c r="A159" s="621" t="s">
        <v>1112</v>
      </c>
      <c r="B159" s="622" t="s">
        <v>9</v>
      </c>
      <c r="C159" s="51">
        <v>19201800431</v>
      </c>
      <c r="D159" s="51">
        <v>6.3</v>
      </c>
      <c r="E159" s="522" t="s">
        <v>1074</v>
      </c>
      <c r="F159" s="44" t="s">
        <v>585</v>
      </c>
    </row>
    <row r="160" spans="1:6" x14ac:dyDescent="0.25">
      <c r="A160" s="86" t="s">
        <v>1135</v>
      </c>
      <c r="B160" s="86" t="s">
        <v>416</v>
      </c>
      <c r="C160" s="86">
        <v>19201800829</v>
      </c>
      <c r="D160" s="86">
        <v>7.92</v>
      </c>
      <c r="E160" s="526" t="s">
        <v>1074</v>
      </c>
      <c r="F160" s="185" t="s">
        <v>578</v>
      </c>
    </row>
    <row r="161" spans="1:6" x14ac:dyDescent="0.25">
      <c r="A161" s="2" t="s">
        <v>1135</v>
      </c>
      <c r="B161" s="2" t="s">
        <v>416</v>
      </c>
      <c r="C161" s="2">
        <v>19201800826</v>
      </c>
      <c r="D161" s="2">
        <v>7.76</v>
      </c>
      <c r="E161" s="301" t="s">
        <v>1074</v>
      </c>
      <c r="F161" s="5" t="s">
        <v>579</v>
      </c>
    </row>
    <row r="162" spans="1:6" x14ac:dyDescent="0.25">
      <c r="A162" s="2" t="s">
        <v>1135</v>
      </c>
      <c r="B162" s="2" t="s">
        <v>416</v>
      </c>
      <c r="C162" s="2">
        <v>19201800830</v>
      </c>
      <c r="D162" s="2">
        <v>7.71</v>
      </c>
      <c r="E162" s="301" t="s">
        <v>1074</v>
      </c>
      <c r="F162" s="5" t="s">
        <v>580</v>
      </c>
    </row>
    <row r="163" spans="1:6" x14ac:dyDescent="0.25">
      <c r="A163" s="2" t="s">
        <v>1135</v>
      </c>
      <c r="B163" s="2" t="s">
        <v>416</v>
      </c>
      <c r="C163" s="2">
        <v>19201800833</v>
      </c>
      <c r="D163" s="2">
        <v>7.68</v>
      </c>
      <c r="E163" s="301" t="s">
        <v>1074</v>
      </c>
      <c r="F163" s="5" t="s">
        <v>581</v>
      </c>
    </row>
    <row r="164" spans="1:6" x14ac:dyDescent="0.25">
      <c r="A164" s="2" t="s">
        <v>1135</v>
      </c>
      <c r="B164" s="2" t="s">
        <v>416</v>
      </c>
      <c r="C164" s="2">
        <v>19201800828</v>
      </c>
      <c r="D164" s="2">
        <v>7.67</v>
      </c>
      <c r="E164" s="301" t="s">
        <v>1074</v>
      </c>
      <c r="F164" s="5" t="s">
        <v>582</v>
      </c>
    </row>
    <row r="165" spans="1:6" x14ac:dyDescent="0.25">
      <c r="A165" s="2" t="s">
        <v>1135</v>
      </c>
      <c r="B165" s="2" t="s">
        <v>416</v>
      </c>
      <c r="C165" s="2">
        <v>19201800803</v>
      </c>
      <c r="D165" s="2">
        <v>7.62</v>
      </c>
      <c r="E165" s="301" t="s">
        <v>1074</v>
      </c>
      <c r="F165" s="5" t="s">
        <v>583</v>
      </c>
    </row>
    <row r="166" spans="1:6" x14ac:dyDescent="0.25">
      <c r="A166" s="2" t="s">
        <v>1135</v>
      </c>
      <c r="B166" s="2" t="s">
        <v>416</v>
      </c>
      <c r="C166" s="2">
        <v>19201800812</v>
      </c>
      <c r="D166" s="2">
        <v>7.55</v>
      </c>
      <c r="E166" s="301" t="s">
        <v>1074</v>
      </c>
      <c r="F166" s="5" t="s">
        <v>584</v>
      </c>
    </row>
    <row r="167" spans="1:6" x14ac:dyDescent="0.25">
      <c r="A167" s="2" t="s">
        <v>1135</v>
      </c>
      <c r="B167" s="2" t="s">
        <v>416</v>
      </c>
      <c r="C167" s="2">
        <v>19201800825</v>
      </c>
      <c r="D167" s="2">
        <v>7.38</v>
      </c>
      <c r="E167" s="301" t="s">
        <v>1074</v>
      </c>
      <c r="F167" s="5" t="s">
        <v>585</v>
      </c>
    </row>
    <row r="168" spans="1:6" x14ac:dyDescent="0.25">
      <c r="A168" s="2" t="s">
        <v>1135</v>
      </c>
      <c r="B168" s="2" t="s">
        <v>416</v>
      </c>
      <c r="C168" s="2">
        <v>19201800832</v>
      </c>
      <c r="D168" s="2">
        <v>7.18</v>
      </c>
      <c r="E168" s="226" t="s">
        <v>1075</v>
      </c>
      <c r="F168" s="5" t="s">
        <v>586</v>
      </c>
    </row>
    <row r="169" spans="1:6" x14ac:dyDescent="0.25">
      <c r="A169" s="2" t="s">
        <v>1135</v>
      </c>
      <c r="B169" s="2" t="s">
        <v>416</v>
      </c>
      <c r="C169" s="2">
        <v>19201800831</v>
      </c>
      <c r="D169" s="2">
        <v>7.08</v>
      </c>
      <c r="E169" s="226" t="s">
        <v>1075</v>
      </c>
      <c r="F169" s="5" t="s">
        <v>587</v>
      </c>
    </row>
    <row r="170" spans="1:6" x14ac:dyDescent="0.25">
      <c r="A170" s="2" t="s">
        <v>1135</v>
      </c>
      <c r="B170" s="2" t="s">
        <v>416</v>
      </c>
      <c r="C170" s="2">
        <v>19201800824</v>
      </c>
      <c r="D170" s="2">
        <v>7.02</v>
      </c>
      <c r="E170" s="226" t="s">
        <v>1075</v>
      </c>
      <c r="F170" s="5" t="s">
        <v>588</v>
      </c>
    </row>
    <row r="171" spans="1:6" x14ac:dyDescent="0.25">
      <c r="A171" s="2" t="s">
        <v>1135</v>
      </c>
      <c r="B171" s="2" t="s">
        <v>416</v>
      </c>
      <c r="C171" s="2">
        <v>19201800827</v>
      </c>
      <c r="D171" s="2">
        <v>6.67</v>
      </c>
      <c r="E171" s="226" t="s">
        <v>1075</v>
      </c>
      <c r="F171" s="5" t="s">
        <v>589</v>
      </c>
    </row>
    <row r="172" spans="1:6" x14ac:dyDescent="0.25">
      <c r="A172" s="179" t="s">
        <v>1135</v>
      </c>
      <c r="B172" s="179" t="s">
        <v>416</v>
      </c>
      <c r="C172" s="179">
        <v>19201800809</v>
      </c>
      <c r="D172" s="179">
        <v>6.12</v>
      </c>
      <c r="E172" s="383" t="s">
        <v>1075</v>
      </c>
      <c r="F172" s="106" t="s">
        <v>590</v>
      </c>
    </row>
    <row r="173" spans="1:6" x14ac:dyDescent="0.25">
      <c r="A173" s="2" t="s">
        <v>1156</v>
      </c>
      <c r="B173" s="2" t="s">
        <v>10</v>
      </c>
      <c r="C173" s="2">
        <v>19201801113</v>
      </c>
      <c r="D173" s="2">
        <v>7.73</v>
      </c>
      <c r="E173" s="301" t="s">
        <v>1074</v>
      </c>
      <c r="F173" s="5" t="s">
        <v>578</v>
      </c>
    </row>
    <row r="174" spans="1:6" x14ac:dyDescent="0.25">
      <c r="A174" s="2" t="s">
        <v>1156</v>
      </c>
      <c r="B174" s="2" t="s">
        <v>10</v>
      </c>
      <c r="C174" s="2">
        <v>19201801135</v>
      </c>
      <c r="D174" s="2">
        <v>7.65</v>
      </c>
      <c r="E174" s="301" t="s">
        <v>1074</v>
      </c>
      <c r="F174" s="5" t="s">
        <v>579</v>
      </c>
    </row>
    <row r="175" spans="1:6" x14ac:dyDescent="0.25">
      <c r="A175" s="2" t="s">
        <v>1156</v>
      </c>
      <c r="B175" s="2" t="s">
        <v>10</v>
      </c>
      <c r="C175" s="2">
        <v>19201801146</v>
      </c>
      <c r="D175" s="2">
        <v>7.55</v>
      </c>
      <c r="E175" s="301" t="s">
        <v>1074</v>
      </c>
      <c r="F175" s="5" t="s">
        <v>580</v>
      </c>
    </row>
    <row r="176" spans="1:6" x14ac:dyDescent="0.25">
      <c r="A176" s="2" t="s">
        <v>1156</v>
      </c>
      <c r="B176" s="2" t="s">
        <v>10</v>
      </c>
      <c r="C176" s="2">
        <v>19201801088</v>
      </c>
      <c r="D176" s="2">
        <v>7.38</v>
      </c>
      <c r="E176" s="301" t="s">
        <v>1074</v>
      </c>
      <c r="F176" s="5" t="s">
        <v>581</v>
      </c>
    </row>
    <row r="177" spans="1:6" x14ac:dyDescent="0.25">
      <c r="A177" s="2" t="s">
        <v>1170</v>
      </c>
      <c r="B177" s="2" t="s">
        <v>10</v>
      </c>
      <c r="C177" s="2">
        <v>19201900148</v>
      </c>
      <c r="D177" s="2">
        <v>8.36</v>
      </c>
      <c r="E177" s="301" t="s">
        <v>1074</v>
      </c>
      <c r="F177" s="185" t="s">
        <v>578</v>
      </c>
    </row>
    <row r="178" spans="1:6" x14ac:dyDescent="0.25">
      <c r="A178" s="2" t="s">
        <v>1170</v>
      </c>
      <c r="B178" s="2" t="s">
        <v>10</v>
      </c>
      <c r="C178" s="2">
        <v>19201900140</v>
      </c>
      <c r="D178" s="2">
        <v>8.35</v>
      </c>
      <c r="E178" s="301" t="s">
        <v>1074</v>
      </c>
      <c r="F178" s="5" t="s">
        <v>579</v>
      </c>
    </row>
    <row r="179" spans="1:6" x14ac:dyDescent="0.25">
      <c r="A179" s="2" t="s">
        <v>1170</v>
      </c>
      <c r="B179" s="2" t="s">
        <v>10</v>
      </c>
      <c r="C179" s="2">
        <v>19201900175</v>
      </c>
      <c r="D179" s="2">
        <v>7.59</v>
      </c>
      <c r="E179" s="301" t="s">
        <v>1074</v>
      </c>
      <c r="F179" s="5" t="s">
        <v>580</v>
      </c>
    </row>
    <row r="180" spans="1:6" x14ac:dyDescent="0.25">
      <c r="A180" s="2" t="s">
        <v>1170</v>
      </c>
      <c r="B180" s="2" t="s">
        <v>10</v>
      </c>
      <c r="C180" s="2">
        <v>19201900156</v>
      </c>
      <c r="D180" s="2">
        <v>7.16</v>
      </c>
      <c r="E180" s="301" t="s">
        <v>1074</v>
      </c>
      <c r="F180" s="5" t="s">
        <v>581</v>
      </c>
    </row>
    <row r="181" spans="1:6" x14ac:dyDescent="0.25">
      <c r="A181" s="2" t="s">
        <v>1170</v>
      </c>
      <c r="B181" s="2" t="s">
        <v>10</v>
      </c>
      <c r="C181" s="2">
        <v>19201900174</v>
      </c>
      <c r="D181" s="2">
        <v>7.08</v>
      </c>
      <c r="E181" s="301" t="s">
        <v>1074</v>
      </c>
      <c r="F181" s="5" t="s">
        <v>582</v>
      </c>
    </row>
    <row r="182" spans="1:6" x14ac:dyDescent="0.25">
      <c r="A182" s="2" t="s">
        <v>1170</v>
      </c>
      <c r="B182" s="2" t="s">
        <v>10</v>
      </c>
      <c r="C182" s="2">
        <v>19201900176</v>
      </c>
      <c r="D182" s="2">
        <v>7</v>
      </c>
      <c r="E182" s="301" t="s">
        <v>1074</v>
      </c>
      <c r="F182" s="5" t="s">
        <v>583</v>
      </c>
    </row>
    <row r="183" spans="1:6" x14ac:dyDescent="0.25">
      <c r="A183" s="2" t="s">
        <v>1170</v>
      </c>
      <c r="B183" s="2" t="s">
        <v>10</v>
      </c>
      <c r="C183" s="2">
        <v>19201900134</v>
      </c>
      <c r="D183" s="2">
        <v>6.91</v>
      </c>
      <c r="E183" s="301" t="s">
        <v>1074</v>
      </c>
      <c r="F183" s="5" t="s">
        <v>584</v>
      </c>
    </row>
    <row r="184" spans="1:6" x14ac:dyDescent="0.25">
      <c r="A184" s="2" t="s">
        <v>1171</v>
      </c>
      <c r="B184" s="2" t="s">
        <v>608</v>
      </c>
      <c r="C184" s="2">
        <v>19201900223</v>
      </c>
      <c r="D184" s="2">
        <v>8.11</v>
      </c>
      <c r="E184" s="301" t="s">
        <v>1074</v>
      </c>
      <c r="F184" s="5" t="s">
        <v>578</v>
      </c>
    </row>
    <row r="185" spans="1:6" x14ac:dyDescent="0.25">
      <c r="A185" s="2" t="s">
        <v>1171</v>
      </c>
      <c r="B185" s="2" t="s">
        <v>608</v>
      </c>
      <c r="C185" s="2">
        <v>19201900222</v>
      </c>
      <c r="D185" s="2">
        <v>7.98</v>
      </c>
      <c r="E185" s="301" t="s">
        <v>1074</v>
      </c>
      <c r="F185" s="5" t="s">
        <v>579</v>
      </c>
    </row>
    <row r="186" spans="1:6" x14ac:dyDescent="0.25">
      <c r="A186" s="2" t="s">
        <v>1179</v>
      </c>
      <c r="B186" s="2" t="s">
        <v>9</v>
      </c>
      <c r="C186" s="2">
        <v>19201900405</v>
      </c>
      <c r="D186" s="2">
        <v>8.64</v>
      </c>
      <c r="E186" s="301" t="s">
        <v>1074</v>
      </c>
      <c r="F186" s="5" t="s">
        <v>578</v>
      </c>
    </row>
    <row r="187" spans="1:6" x14ac:dyDescent="0.25">
      <c r="A187" s="2" t="s">
        <v>1179</v>
      </c>
      <c r="B187" s="2" t="s">
        <v>9</v>
      </c>
      <c r="C187" s="2">
        <v>19201900404</v>
      </c>
      <c r="D187" s="2">
        <v>8.17</v>
      </c>
      <c r="E187" s="301" t="s">
        <v>1074</v>
      </c>
      <c r="F187" s="5" t="s">
        <v>579</v>
      </c>
    </row>
    <row r="188" spans="1:6" x14ac:dyDescent="0.25">
      <c r="A188" s="2" t="s">
        <v>1179</v>
      </c>
      <c r="B188" s="2" t="s">
        <v>9</v>
      </c>
      <c r="C188" s="2">
        <v>19201900299</v>
      </c>
      <c r="D188" s="2">
        <v>7.99</v>
      </c>
      <c r="E188" s="301" t="s">
        <v>1074</v>
      </c>
      <c r="F188" s="5" t="s">
        <v>580</v>
      </c>
    </row>
    <row r="189" spans="1:6" x14ac:dyDescent="0.25">
      <c r="A189" s="2" t="s">
        <v>1179</v>
      </c>
      <c r="B189" s="2" t="s">
        <v>9</v>
      </c>
      <c r="C189" s="2">
        <v>19201900401</v>
      </c>
      <c r="D189" s="2">
        <v>7.6</v>
      </c>
      <c r="E189" s="301" t="s">
        <v>1074</v>
      </c>
      <c r="F189" s="5" t="s">
        <v>581</v>
      </c>
    </row>
    <row r="190" spans="1:6" x14ac:dyDescent="0.25">
      <c r="A190" s="2" t="s">
        <v>1179</v>
      </c>
      <c r="B190" s="2" t="s">
        <v>9</v>
      </c>
      <c r="C190" s="2">
        <v>19201900403</v>
      </c>
      <c r="D190" s="2">
        <v>7.36</v>
      </c>
      <c r="E190" s="226" t="s">
        <v>1075</v>
      </c>
      <c r="F190" s="5" t="s">
        <v>582</v>
      </c>
    </row>
    <row r="191" spans="1:6" x14ac:dyDescent="0.25">
      <c r="A191" s="26" t="s">
        <v>1198</v>
      </c>
      <c r="B191" s="26" t="s">
        <v>416</v>
      </c>
      <c r="C191" s="2">
        <v>19201900711</v>
      </c>
      <c r="D191" s="2">
        <v>7.91</v>
      </c>
      <c r="E191" s="301" t="s">
        <v>1074</v>
      </c>
      <c r="F191" s="5" t="s">
        <v>578</v>
      </c>
    </row>
    <row r="192" spans="1:6" x14ac:dyDescent="0.25">
      <c r="A192" s="2" t="s">
        <v>1198</v>
      </c>
      <c r="B192" s="26" t="s">
        <v>416</v>
      </c>
      <c r="C192" s="2">
        <v>19201900713</v>
      </c>
      <c r="D192" s="2">
        <v>7.82</v>
      </c>
      <c r="E192" s="301" t="s">
        <v>1074</v>
      </c>
      <c r="F192" s="5" t="s">
        <v>579</v>
      </c>
    </row>
    <row r="193" spans="1:6" x14ac:dyDescent="0.25">
      <c r="A193" s="2" t="s">
        <v>1198</v>
      </c>
      <c r="B193" s="26" t="s">
        <v>416</v>
      </c>
      <c r="C193" s="2">
        <v>19201900710</v>
      </c>
      <c r="D193" s="2">
        <v>7.59</v>
      </c>
      <c r="E193" s="301" t="s">
        <v>1074</v>
      </c>
      <c r="F193" s="5" t="s">
        <v>580</v>
      </c>
    </row>
    <row r="194" spans="1:6" x14ac:dyDescent="0.25">
      <c r="A194" s="2" t="s">
        <v>1198</v>
      </c>
      <c r="B194" s="26" t="s">
        <v>416</v>
      </c>
      <c r="C194" s="2">
        <v>19201900712</v>
      </c>
      <c r="D194" s="2">
        <v>7.36</v>
      </c>
      <c r="E194" s="301" t="s">
        <v>1074</v>
      </c>
      <c r="F194" s="5" t="s">
        <v>581</v>
      </c>
    </row>
    <row r="195" spans="1:6" x14ac:dyDescent="0.25">
      <c r="A195" s="26" t="s">
        <v>1198</v>
      </c>
      <c r="B195" s="26" t="s">
        <v>416</v>
      </c>
      <c r="C195" s="2">
        <v>19201900715</v>
      </c>
      <c r="D195" s="2">
        <v>7.12</v>
      </c>
      <c r="E195" s="301" t="s">
        <v>1074</v>
      </c>
      <c r="F195" s="5" t="s">
        <v>582</v>
      </c>
    </row>
    <row r="196" spans="1:6" x14ac:dyDescent="0.25">
      <c r="A196" s="2" t="s">
        <v>1198</v>
      </c>
      <c r="B196" s="26" t="s">
        <v>416</v>
      </c>
      <c r="C196" s="2">
        <v>19201900714</v>
      </c>
      <c r="D196" s="2">
        <v>7.01</v>
      </c>
      <c r="E196" s="301" t="s">
        <v>1074</v>
      </c>
      <c r="F196" s="5" t="s">
        <v>583</v>
      </c>
    </row>
    <row r="197" spans="1:6" x14ac:dyDescent="0.25">
      <c r="A197" s="2" t="s">
        <v>1198</v>
      </c>
      <c r="B197" s="26" t="s">
        <v>416</v>
      </c>
      <c r="C197" s="2">
        <v>19201900708</v>
      </c>
      <c r="D197" s="2">
        <v>6.92</v>
      </c>
      <c r="E197" s="301" t="s">
        <v>1074</v>
      </c>
      <c r="F197" s="5" t="s">
        <v>584</v>
      </c>
    </row>
    <row r="198" spans="1:6" x14ac:dyDescent="0.25">
      <c r="A198" s="2" t="s">
        <v>1198</v>
      </c>
      <c r="B198" s="26" t="s">
        <v>416</v>
      </c>
      <c r="C198" s="2">
        <v>19201900709</v>
      </c>
      <c r="D198" s="2">
        <v>6.12</v>
      </c>
      <c r="E198" s="226" t="s">
        <v>1075</v>
      </c>
      <c r="F198" s="5" t="s">
        <v>585</v>
      </c>
    </row>
    <row r="199" spans="1:6" x14ac:dyDescent="0.25">
      <c r="A199" s="2" t="s">
        <v>1198</v>
      </c>
      <c r="B199" s="26" t="s">
        <v>416</v>
      </c>
      <c r="C199" s="2">
        <v>19201900699</v>
      </c>
      <c r="D199" s="2">
        <v>6</v>
      </c>
      <c r="E199" s="226" t="s">
        <v>1075</v>
      </c>
      <c r="F199" s="5" t="s">
        <v>586</v>
      </c>
    </row>
    <row r="200" spans="1:6" x14ac:dyDescent="0.25">
      <c r="A200" s="2" t="s">
        <v>1198</v>
      </c>
      <c r="B200" s="26" t="s">
        <v>416</v>
      </c>
      <c r="C200" s="2">
        <v>19201900703</v>
      </c>
      <c r="D200" s="2">
        <v>6</v>
      </c>
      <c r="E200" s="226" t="s">
        <v>1075</v>
      </c>
      <c r="F200" s="5" t="s">
        <v>587</v>
      </c>
    </row>
    <row r="201" spans="1:6" x14ac:dyDescent="0.25">
      <c r="A201" s="26" t="s">
        <v>1208</v>
      </c>
      <c r="B201" s="2" t="s">
        <v>10</v>
      </c>
      <c r="C201" s="2">
        <v>19201900986</v>
      </c>
      <c r="D201" s="2">
        <v>8.16</v>
      </c>
      <c r="E201" s="301" t="s">
        <v>1209</v>
      </c>
      <c r="F201" s="5" t="s">
        <v>578</v>
      </c>
    </row>
    <row r="202" spans="1:6" x14ac:dyDescent="0.25">
      <c r="A202" s="26" t="s">
        <v>1208</v>
      </c>
      <c r="B202" s="2" t="s">
        <v>10</v>
      </c>
      <c r="C202" s="2">
        <v>19201900997</v>
      </c>
      <c r="D202" s="2">
        <v>8.0299999999999994</v>
      </c>
      <c r="E202" s="301" t="s">
        <v>1209</v>
      </c>
      <c r="F202" s="5" t="s">
        <v>579</v>
      </c>
    </row>
    <row r="203" spans="1:6" x14ac:dyDescent="0.25">
      <c r="A203" s="26" t="s">
        <v>1208</v>
      </c>
      <c r="B203" s="2" t="s">
        <v>10</v>
      </c>
      <c r="C203" s="2">
        <v>19201900987</v>
      </c>
      <c r="D203" s="2">
        <v>7.91</v>
      </c>
      <c r="E203" s="301" t="s">
        <v>1209</v>
      </c>
      <c r="F203" s="5" t="s">
        <v>580</v>
      </c>
    </row>
    <row r="204" spans="1:6" x14ac:dyDescent="0.25">
      <c r="A204" s="26" t="s">
        <v>1208</v>
      </c>
      <c r="B204" s="2" t="s">
        <v>10</v>
      </c>
      <c r="C204" s="2">
        <v>19201900998</v>
      </c>
      <c r="D204" s="2">
        <v>7.27</v>
      </c>
      <c r="E204" s="301" t="s">
        <v>1209</v>
      </c>
      <c r="F204" s="5" t="s">
        <v>581</v>
      </c>
    </row>
    <row r="205" spans="1:6" x14ac:dyDescent="0.25">
      <c r="A205" s="26" t="s">
        <v>1208</v>
      </c>
      <c r="B205" s="2" t="s">
        <v>10</v>
      </c>
      <c r="C205" s="2">
        <v>19201900989</v>
      </c>
      <c r="D205" s="2">
        <v>7.05</v>
      </c>
      <c r="E205" s="301" t="s">
        <v>1209</v>
      </c>
      <c r="F205" s="5" t="s">
        <v>582</v>
      </c>
    </row>
    <row r="206" spans="1:6" x14ac:dyDescent="0.25">
      <c r="A206" s="26" t="s">
        <v>1208</v>
      </c>
      <c r="B206" s="2" t="s">
        <v>10</v>
      </c>
      <c r="C206" s="2">
        <v>19201900988</v>
      </c>
      <c r="D206" s="2">
        <v>6.81</v>
      </c>
      <c r="E206" s="226" t="s">
        <v>1210</v>
      </c>
      <c r="F206" s="5" t="s">
        <v>583</v>
      </c>
    </row>
    <row r="207" spans="1:6" x14ac:dyDescent="0.25">
      <c r="A207" s="26" t="s">
        <v>1208</v>
      </c>
      <c r="B207" s="2" t="s">
        <v>10</v>
      </c>
      <c r="C207" s="2">
        <v>19201900991</v>
      </c>
      <c r="D207" s="2">
        <v>6.63</v>
      </c>
      <c r="E207" s="226" t="s">
        <v>1210</v>
      </c>
      <c r="F207" s="5" t="s">
        <v>584</v>
      </c>
    </row>
    <row r="208" spans="1:6" x14ac:dyDescent="0.25">
      <c r="A208" s="26" t="s">
        <v>1208</v>
      </c>
      <c r="B208" s="2" t="s">
        <v>10</v>
      </c>
      <c r="C208" s="2">
        <v>19201900994</v>
      </c>
      <c r="D208" s="2">
        <v>6.58</v>
      </c>
      <c r="E208" s="226" t="s">
        <v>1210</v>
      </c>
      <c r="F208" s="5" t="s">
        <v>585</v>
      </c>
    </row>
    <row r="209" spans="1:7" x14ac:dyDescent="0.25">
      <c r="A209" s="26" t="s">
        <v>1208</v>
      </c>
      <c r="B209" s="2" t="s">
        <v>10</v>
      </c>
      <c r="C209" s="2">
        <v>19201900999</v>
      </c>
      <c r="D209" s="2">
        <v>6.3</v>
      </c>
      <c r="E209" s="226" t="s">
        <v>1210</v>
      </c>
      <c r="F209" s="5" t="s">
        <v>586</v>
      </c>
    </row>
    <row r="210" spans="1:7" x14ac:dyDescent="0.25">
      <c r="A210" s="26" t="s">
        <v>1208</v>
      </c>
      <c r="B210" s="2" t="s">
        <v>10</v>
      </c>
      <c r="C210" s="2">
        <v>19201901000</v>
      </c>
      <c r="D210" s="2">
        <v>6.27</v>
      </c>
      <c r="E210" s="226" t="s">
        <v>1210</v>
      </c>
      <c r="F210" s="5" t="s">
        <v>587</v>
      </c>
    </row>
    <row r="211" spans="1:7" x14ac:dyDescent="0.25">
      <c r="A211" s="26" t="s">
        <v>1208</v>
      </c>
      <c r="B211" s="2" t="s">
        <v>10</v>
      </c>
      <c r="C211" s="2">
        <v>19201901001</v>
      </c>
      <c r="D211" s="2">
        <v>5.9</v>
      </c>
      <c r="E211" s="226" t="s">
        <v>1210</v>
      </c>
      <c r="F211" s="5" t="s">
        <v>588</v>
      </c>
    </row>
    <row r="212" spans="1:7" x14ac:dyDescent="0.25">
      <c r="A212" s="26" t="s">
        <v>1208</v>
      </c>
      <c r="B212" s="629" t="s">
        <v>10</v>
      </c>
      <c r="C212" s="716">
        <v>19201900996</v>
      </c>
      <c r="D212" s="629" t="s">
        <v>836</v>
      </c>
      <c r="E212" s="683" t="s">
        <v>836</v>
      </c>
      <c r="F212" s="313" t="s">
        <v>589</v>
      </c>
    </row>
    <row r="213" spans="1:7" x14ac:dyDescent="0.25">
      <c r="A213" s="26" t="s">
        <v>1228</v>
      </c>
      <c r="B213" s="26" t="s">
        <v>608</v>
      </c>
      <c r="C213" s="2">
        <v>19202000204</v>
      </c>
      <c r="D213" s="2">
        <v>8.34</v>
      </c>
      <c r="E213" s="301" t="s">
        <v>1209</v>
      </c>
      <c r="F213" s="5" t="s">
        <v>578</v>
      </c>
    </row>
    <row r="214" spans="1:7" x14ac:dyDescent="0.25">
      <c r="A214" s="26" t="s">
        <v>1228</v>
      </c>
      <c r="B214" s="26" t="s">
        <v>608</v>
      </c>
      <c r="C214" s="2">
        <v>19202000202</v>
      </c>
      <c r="D214" s="2">
        <v>8.15</v>
      </c>
      <c r="E214" s="301" t="s">
        <v>1209</v>
      </c>
      <c r="F214" s="5" t="s">
        <v>579</v>
      </c>
    </row>
    <row r="215" spans="1:7" x14ac:dyDescent="0.25">
      <c r="A215" s="2" t="s">
        <v>1237</v>
      </c>
      <c r="B215" s="26" t="s">
        <v>9</v>
      </c>
      <c r="C215" s="2">
        <v>19202000197</v>
      </c>
      <c r="D215" s="2">
        <v>8.64</v>
      </c>
      <c r="E215" s="301" t="s">
        <v>1209</v>
      </c>
      <c r="F215" s="5" t="s">
        <v>578</v>
      </c>
      <c r="G215" s="647"/>
    </row>
    <row r="216" spans="1:7" x14ac:dyDescent="0.25">
      <c r="A216" s="2" t="s">
        <v>1237</v>
      </c>
      <c r="B216" s="26" t="s">
        <v>9</v>
      </c>
      <c r="C216" s="2">
        <v>19202000199</v>
      </c>
      <c r="D216" s="2">
        <v>8.3000000000000007</v>
      </c>
      <c r="E216" s="301" t="s">
        <v>1209</v>
      </c>
      <c r="F216" s="5" t="s">
        <v>579</v>
      </c>
      <c r="G216" s="647"/>
    </row>
    <row r="217" spans="1:7" x14ac:dyDescent="0.25">
      <c r="A217" s="2" t="s">
        <v>1237</v>
      </c>
      <c r="B217" s="26" t="s">
        <v>9</v>
      </c>
      <c r="C217" s="2">
        <v>19202000201</v>
      </c>
      <c r="D217" s="2">
        <v>8.16</v>
      </c>
      <c r="E217" s="301" t="s">
        <v>1209</v>
      </c>
      <c r="F217" s="5" t="s">
        <v>580</v>
      </c>
      <c r="G217" s="647"/>
    </row>
    <row r="218" spans="1:7" x14ac:dyDescent="0.25">
      <c r="A218" s="2" t="s">
        <v>1237</v>
      </c>
      <c r="B218" s="26" t="s">
        <v>9</v>
      </c>
      <c r="C218" s="2">
        <v>19202000195</v>
      </c>
      <c r="D218" s="2">
        <v>8.14</v>
      </c>
      <c r="E218" s="226" t="s">
        <v>1210</v>
      </c>
      <c r="F218" s="5" t="s">
        <v>581</v>
      </c>
      <c r="G218" s="647"/>
    </row>
    <row r="219" spans="1:7" x14ac:dyDescent="0.25">
      <c r="A219" s="2" t="s">
        <v>1237</v>
      </c>
      <c r="B219" s="26" t="s">
        <v>9</v>
      </c>
      <c r="C219" s="2">
        <v>19202000128</v>
      </c>
      <c r="D219" s="2">
        <v>7.57</v>
      </c>
      <c r="E219" s="226" t="s">
        <v>1210</v>
      </c>
      <c r="F219" s="5" t="s">
        <v>582</v>
      </c>
      <c r="G219" s="647"/>
    </row>
    <row r="220" spans="1:7" x14ac:dyDescent="0.25">
      <c r="A220" s="2" t="s">
        <v>1237</v>
      </c>
      <c r="B220" s="26" t="s">
        <v>9</v>
      </c>
      <c r="C220" s="2">
        <v>19202000203</v>
      </c>
      <c r="D220" s="2">
        <v>7.23</v>
      </c>
      <c r="E220" s="226" t="s">
        <v>1210</v>
      </c>
      <c r="F220" s="5" t="s">
        <v>583</v>
      </c>
      <c r="G220" s="647"/>
    </row>
    <row r="221" spans="1:7" x14ac:dyDescent="0.25">
      <c r="A221" s="2" t="s">
        <v>1237</v>
      </c>
      <c r="B221" s="26" t="s">
        <v>9</v>
      </c>
      <c r="C221" s="2">
        <v>19202000191</v>
      </c>
      <c r="D221" s="2">
        <v>7.11</v>
      </c>
      <c r="E221" s="226" t="s">
        <v>1210</v>
      </c>
      <c r="F221" s="5" t="s">
        <v>584</v>
      </c>
      <c r="G221" s="647"/>
    </row>
    <row r="222" spans="1:7" x14ac:dyDescent="0.25">
      <c r="A222" s="2" t="s">
        <v>1237</v>
      </c>
      <c r="B222" s="26" t="s">
        <v>9</v>
      </c>
      <c r="C222" s="2">
        <v>19202000193</v>
      </c>
      <c r="D222" s="2">
        <v>6.91</v>
      </c>
      <c r="E222" s="226" t="s">
        <v>1210</v>
      </c>
      <c r="F222" s="5" t="s">
        <v>585</v>
      </c>
      <c r="G222" s="647"/>
    </row>
    <row r="223" spans="1:7" x14ac:dyDescent="0.25">
      <c r="A223" s="2" t="s">
        <v>1237</v>
      </c>
      <c r="B223" s="26" t="s">
        <v>9</v>
      </c>
      <c r="C223" s="2">
        <v>19202000192</v>
      </c>
      <c r="D223" s="2">
        <v>6.64</v>
      </c>
      <c r="E223" s="226" t="s">
        <v>1210</v>
      </c>
      <c r="F223" s="5" t="s">
        <v>586</v>
      </c>
      <c r="G223" s="647"/>
    </row>
    <row r="224" spans="1:7" x14ac:dyDescent="0.25">
      <c r="A224" s="2" t="s">
        <v>1237</v>
      </c>
      <c r="B224" s="26" t="s">
        <v>9</v>
      </c>
      <c r="C224" s="2">
        <v>19202000205</v>
      </c>
      <c r="D224" s="2">
        <v>6.42</v>
      </c>
      <c r="E224" s="226" t="s">
        <v>1210</v>
      </c>
      <c r="F224" s="5" t="s">
        <v>587</v>
      </c>
      <c r="G224" s="647"/>
    </row>
    <row r="225" spans="1:7" x14ac:dyDescent="0.25">
      <c r="A225" s="2" t="s">
        <v>1237</v>
      </c>
      <c r="B225" s="26" t="s">
        <v>9</v>
      </c>
      <c r="C225" s="629">
        <v>19202000159</v>
      </c>
      <c r="D225" s="2">
        <v>6.4</v>
      </c>
      <c r="E225" s="226" t="s">
        <v>1210</v>
      </c>
      <c r="F225" s="5" t="s">
        <v>588</v>
      </c>
      <c r="G225" s="647"/>
    </row>
    <row r="226" spans="1:7" x14ac:dyDescent="0.25">
      <c r="A226" s="26" t="s">
        <v>1242</v>
      </c>
      <c r="B226" s="375" t="s">
        <v>436</v>
      </c>
      <c r="C226" s="742">
        <v>19202000254</v>
      </c>
      <c r="D226" s="375">
        <v>7.73</v>
      </c>
      <c r="E226" s="604" t="s">
        <v>419</v>
      </c>
      <c r="F226" s="106" t="s">
        <v>578</v>
      </c>
    </row>
    <row r="227" spans="1:7" x14ac:dyDescent="0.25">
      <c r="A227" s="342" t="s">
        <v>1242</v>
      </c>
      <c r="B227" s="342" t="s">
        <v>10</v>
      </c>
      <c r="C227" s="743">
        <v>19202000263</v>
      </c>
      <c r="D227" s="758">
        <v>7.84</v>
      </c>
      <c r="E227" s="701" t="s">
        <v>419</v>
      </c>
      <c r="F227" s="5" t="s">
        <v>578</v>
      </c>
    </row>
    <row r="228" spans="1:7" x14ac:dyDescent="0.25">
      <c r="A228" s="354" t="s">
        <v>1242</v>
      </c>
      <c r="B228" s="354" t="s">
        <v>10</v>
      </c>
      <c r="C228" s="760">
        <v>19202000266</v>
      </c>
      <c r="D228" s="759">
        <v>6.92</v>
      </c>
      <c r="E228" s="757" t="s">
        <v>419</v>
      </c>
      <c r="F228" s="106" t="s">
        <v>579</v>
      </c>
    </row>
    <row r="229" spans="1:7" x14ac:dyDescent="0.25">
      <c r="A229" s="26" t="s">
        <v>1242</v>
      </c>
      <c r="B229" s="26" t="s">
        <v>416</v>
      </c>
      <c r="C229" s="754">
        <v>19202000275</v>
      </c>
      <c r="D229" s="761">
        <v>8.6300000000000008</v>
      </c>
      <c r="E229" s="301" t="s">
        <v>419</v>
      </c>
      <c r="F229" s="5">
        <v>1</v>
      </c>
    </row>
    <row r="230" spans="1:7" x14ac:dyDescent="0.25">
      <c r="A230" s="342" t="s">
        <v>1242</v>
      </c>
      <c r="B230" s="26" t="s">
        <v>416</v>
      </c>
      <c r="C230" s="754">
        <v>19202000283</v>
      </c>
      <c r="D230" s="761">
        <v>8.4</v>
      </c>
      <c r="E230" s="301" t="s">
        <v>419</v>
      </c>
      <c r="F230" s="5">
        <v>2</v>
      </c>
    </row>
    <row r="231" spans="1:7" x14ac:dyDescent="0.25">
      <c r="A231" s="26" t="s">
        <v>1242</v>
      </c>
      <c r="B231" s="26" t="s">
        <v>416</v>
      </c>
      <c r="C231" s="754">
        <v>19202000259</v>
      </c>
      <c r="D231" s="761">
        <v>8.2200000000000006</v>
      </c>
      <c r="E231" s="301" t="s">
        <v>419</v>
      </c>
      <c r="F231" s="5">
        <v>3</v>
      </c>
    </row>
    <row r="232" spans="1:7" x14ac:dyDescent="0.25">
      <c r="A232" s="342" t="s">
        <v>1242</v>
      </c>
      <c r="B232" s="26" t="s">
        <v>416</v>
      </c>
      <c r="C232" s="754">
        <v>19202000280</v>
      </c>
      <c r="D232" s="761">
        <v>8.0500000000000007</v>
      </c>
      <c r="E232" s="301" t="s">
        <v>419</v>
      </c>
      <c r="F232" s="5">
        <v>4</v>
      </c>
    </row>
    <row r="233" spans="1:7" x14ac:dyDescent="0.25">
      <c r="A233" s="342" t="s">
        <v>1242</v>
      </c>
      <c r="B233" s="26" t="s">
        <v>416</v>
      </c>
      <c r="C233" s="754">
        <v>19202000251</v>
      </c>
      <c r="D233" s="761">
        <v>7.99</v>
      </c>
      <c r="E233" s="301" t="s">
        <v>419</v>
      </c>
      <c r="F233" s="5">
        <v>5</v>
      </c>
    </row>
    <row r="234" spans="1:7" x14ac:dyDescent="0.25">
      <c r="A234" s="26" t="s">
        <v>1242</v>
      </c>
      <c r="B234" s="26" t="s">
        <v>416</v>
      </c>
      <c r="C234" s="754">
        <v>19202000273</v>
      </c>
      <c r="D234" s="761">
        <v>7.95</v>
      </c>
      <c r="E234" s="301" t="s">
        <v>419</v>
      </c>
      <c r="F234" s="5">
        <v>6</v>
      </c>
    </row>
    <row r="235" spans="1:7" x14ac:dyDescent="0.25">
      <c r="A235" s="354" t="s">
        <v>1242</v>
      </c>
      <c r="B235" s="375" t="s">
        <v>416</v>
      </c>
      <c r="C235" s="762">
        <v>19202000257</v>
      </c>
      <c r="D235" s="763">
        <v>7.94</v>
      </c>
      <c r="E235" s="604" t="s">
        <v>419</v>
      </c>
      <c r="F235" s="106">
        <v>7</v>
      </c>
    </row>
    <row r="236" spans="1:7" x14ac:dyDescent="0.25">
      <c r="A236" s="342" t="s">
        <v>1242</v>
      </c>
      <c r="B236" s="26" t="s">
        <v>416</v>
      </c>
      <c r="C236" s="754">
        <v>19202000250</v>
      </c>
      <c r="D236" s="761">
        <v>7.85</v>
      </c>
      <c r="E236" s="683" t="s">
        <v>420</v>
      </c>
      <c r="F236" s="712">
        <v>8</v>
      </c>
    </row>
    <row r="237" spans="1:7" x14ac:dyDescent="0.25">
      <c r="A237" s="342" t="s">
        <v>1242</v>
      </c>
      <c r="B237" s="26" t="s">
        <v>416</v>
      </c>
      <c r="C237" s="754">
        <v>19202000282</v>
      </c>
      <c r="D237" s="761">
        <v>7.57</v>
      </c>
      <c r="E237" s="683" t="s">
        <v>420</v>
      </c>
      <c r="F237" s="712">
        <v>9</v>
      </c>
    </row>
    <row r="238" spans="1:7" x14ac:dyDescent="0.25">
      <c r="A238" s="26" t="s">
        <v>1242</v>
      </c>
      <c r="B238" s="26" t="s">
        <v>416</v>
      </c>
      <c r="C238" s="754">
        <v>19202000253</v>
      </c>
      <c r="D238" s="761">
        <v>7.54</v>
      </c>
      <c r="E238" s="683" t="s">
        <v>420</v>
      </c>
      <c r="F238" s="712">
        <v>10</v>
      </c>
    </row>
    <row r="239" spans="1:7" x14ac:dyDescent="0.25">
      <c r="A239" s="342" t="s">
        <v>1242</v>
      </c>
      <c r="B239" s="26" t="s">
        <v>416</v>
      </c>
      <c r="C239" s="754">
        <v>19202000276</v>
      </c>
      <c r="D239" s="761">
        <v>7.45</v>
      </c>
      <c r="E239" s="683" t="s">
        <v>420</v>
      </c>
      <c r="F239" s="712">
        <v>11</v>
      </c>
    </row>
    <row r="240" spans="1:7" x14ac:dyDescent="0.25">
      <c r="A240" s="342" t="s">
        <v>1242</v>
      </c>
      <c r="B240" s="26" t="s">
        <v>416</v>
      </c>
      <c r="C240" s="754">
        <v>19202000270</v>
      </c>
      <c r="D240" s="761">
        <v>7.4</v>
      </c>
      <c r="E240" s="683" t="s">
        <v>420</v>
      </c>
      <c r="F240" s="712">
        <v>12</v>
      </c>
    </row>
    <row r="241" spans="1:6" x14ac:dyDescent="0.25">
      <c r="A241" s="342" t="s">
        <v>1242</v>
      </c>
      <c r="B241" s="26" t="s">
        <v>416</v>
      </c>
      <c r="C241" s="754">
        <v>19202000267</v>
      </c>
      <c r="D241" s="761">
        <v>7.29</v>
      </c>
      <c r="E241" s="683" t="s">
        <v>420</v>
      </c>
      <c r="F241" s="712">
        <v>13</v>
      </c>
    </row>
    <row r="242" spans="1:6" x14ac:dyDescent="0.25">
      <c r="A242" s="26" t="s">
        <v>1242</v>
      </c>
      <c r="B242" s="26" t="s">
        <v>416</v>
      </c>
      <c r="C242" s="754">
        <v>19202000284</v>
      </c>
      <c r="D242" s="761">
        <v>7.23</v>
      </c>
      <c r="E242" s="683" t="s">
        <v>420</v>
      </c>
      <c r="F242" s="712">
        <v>14</v>
      </c>
    </row>
    <row r="243" spans="1:6" x14ac:dyDescent="0.25">
      <c r="A243" s="342" t="s">
        <v>1242</v>
      </c>
      <c r="B243" s="26" t="s">
        <v>416</v>
      </c>
      <c r="C243" s="754">
        <v>19202000261</v>
      </c>
      <c r="D243" s="761">
        <v>7.13</v>
      </c>
      <c r="E243" s="683" t="s">
        <v>420</v>
      </c>
      <c r="F243" s="712">
        <v>15</v>
      </c>
    </row>
    <row r="244" spans="1:6" x14ac:dyDescent="0.25">
      <c r="A244" s="342" t="s">
        <v>1242</v>
      </c>
      <c r="B244" s="26" t="s">
        <v>416</v>
      </c>
      <c r="C244" s="754">
        <v>19202000252</v>
      </c>
      <c r="D244" s="761">
        <v>7.05</v>
      </c>
      <c r="E244" s="683" t="s">
        <v>420</v>
      </c>
      <c r="F244" s="712">
        <v>16</v>
      </c>
    </row>
    <row r="245" spans="1:6" x14ac:dyDescent="0.25">
      <c r="A245" s="342" t="s">
        <v>1242</v>
      </c>
      <c r="B245" s="26" t="s">
        <v>416</v>
      </c>
      <c r="C245" s="754">
        <v>19202000272</v>
      </c>
      <c r="D245" s="761">
        <v>7</v>
      </c>
      <c r="E245" s="683" t="s">
        <v>420</v>
      </c>
      <c r="F245" s="712">
        <v>17</v>
      </c>
    </row>
    <row r="246" spans="1:6" x14ac:dyDescent="0.25">
      <c r="A246" s="26" t="s">
        <v>1242</v>
      </c>
      <c r="B246" s="26" t="s">
        <v>416</v>
      </c>
      <c r="C246" s="754">
        <v>19202000268</v>
      </c>
      <c r="D246" s="761">
        <v>6.78</v>
      </c>
      <c r="E246" s="683" t="s">
        <v>420</v>
      </c>
      <c r="F246" s="712">
        <v>18</v>
      </c>
    </row>
    <row r="247" spans="1:6" x14ac:dyDescent="0.25">
      <c r="A247" s="342" t="s">
        <v>1242</v>
      </c>
      <c r="B247" s="26" t="s">
        <v>416</v>
      </c>
      <c r="C247" s="754">
        <v>19202000274</v>
      </c>
      <c r="D247" s="761">
        <v>6.74</v>
      </c>
      <c r="E247" s="683" t="s">
        <v>420</v>
      </c>
      <c r="F247" s="712">
        <v>19</v>
      </c>
    </row>
    <row r="248" spans="1:6" x14ac:dyDescent="0.25">
      <c r="A248" s="342" t="s">
        <v>1242</v>
      </c>
      <c r="B248" s="26" t="s">
        <v>416</v>
      </c>
      <c r="C248" s="754">
        <v>19202000269</v>
      </c>
      <c r="D248" s="761">
        <v>6.71</v>
      </c>
      <c r="E248" s="683" t="s">
        <v>420</v>
      </c>
      <c r="F248" s="712">
        <v>20</v>
      </c>
    </row>
    <row r="249" spans="1:6" x14ac:dyDescent="0.25">
      <c r="A249" s="342" t="s">
        <v>1242</v>
      </c>
      <c r="B249" s="26" t="s">
        <v>416</v>
      </c>
      <c r="C249" s="754">
        <v>19202000271</v>
      </c>
      <c r="D249" s="761">
        <v>6.28</v>
      </c>
      <c r="E249" s="683" t="s">
        <v>420</v>
      </c>
      <c r="F249" s="712">
        <v>21</v>
      </c>
    </row>
    <row r="250" spans="1:6" x14ac:dyDescent="0.25">
      <c r="A250" s="26" t="s">
        <v>1242</v>
      </c>
      <c r="B250" s="26" t="s">
        <v>416</v>
      </c>
      <c r="C250" s="754">
        <v>19202000278</v>
      </c>
      <c r="D250" s="761">
        <v>6.18</v>
      </c>
      <c r="E250" s="683" t="s">
        <v>420</v>
      </c>
      <c r="F250" s="712">
        <v>22</v>
      </c>
    </row>
    <row r="251" spans="1:6" ht="15.75" thickBot="1" x14ac:dyDescent="0.3">
      <c r="A251" s="420" t="s">
        <v>1242</v>
      </c>
      <c r="B251" s="222" t="s">
        <v>416</v>
      </c>
      <c r="C251" s="775">
        <v>19202000265</v>
      </c>
      <c r="D251" s="776">
        <v>6.16</v>
      </c>
      <c r="E251" s="777" t="s">
        <v>420</v>
      </c>
      <c r="F251" s="778">
        <v>23</v>
      </c>
    </row>
    <row r="252" spans="1:6" x14ac:dyDescent="0.25">
      <c r="A252" s="86" t="s">
        <v>1249</v>
      </c>
      <c r="B252" s="625" t="s">
        <v>416</v>
      </c>
      <c r="C252" s="86">
        <v>19202000559</v>
      </c>
      <c r="D252" s="86">
        <v>8.39</v>
      </c>
      <c r="E252" s="526" t="s">
        <v>419</v>
      </c>
      <c r="F252" s="185">
        <v>1</v>
      </c>
    </row>
    <row r="253" spans="1:6" x14ac:dyDescent="0.25">
      <c r="A253" s="2" t="s">
        <v>1249</v>
      </c>
      <c r="B253" s="26" t="s">
        <v>416</v>
      </c>
      <c r="C253" s="2">
        <v>19202000558</v>
      </c>
      <c r="D253" s="2">
        <v>8.08</v>
      </c>
      <c r="E253" s="301" t="s">
        <v>419</v>
      </c>
      <c r="F253" s="5">
        <v>2</v>
      </c>
    </row>
    <row r="254" spans="1:6" x14ac:dyDescent="0.25">
      <c r="A254" s="2" t="s">
        <v>1249</v>
      </c>
      <c r="B254" s="26" t="s">
        <v>416</v>
      </c>
      <c r="C254" s="2">
        <v>19202000562</v>
      </c>
      <c r="D254" s="2">
        <v>7.74</v>
      </c>
      <c r="E254" s="301" t="s">
        <v>419</v>
      </c>
      <c r="F254" s="5">
        <v>3</v>
      </c>
    </row>
    <row r="255" spans="1:6" x14ac:dyDescent="0.25">
      <c r="A255" s="2" t="s">
        <v>1249</v>
      </c>
      <c r="B255" s="26" t="s">
        <v>416</v>
      </c>
      <c r="C255" s="2">
        <v>19202000556</v>
      </c>
      <c r="D255" s="2">
        <v>7.73</v>
      </c>
      <c r="E255" s="301" t="s">
        <v>419</v>
      </c>
      <c r="F255" s="5">
        <v>4</v>
      </c>
    </row>
    <row r="256" spans="1:6" x14ac:dyDescent="0.25">
      <c r="A256" s="2" t="s">
        <v>1249</v>
      </c>
      <c r="B256" s="26" t="s">
        <v>416</v>
      </c>
      <c r="C256" s="2">
        <v>19202000560</v>
      </c>
      <c r="D256" s="2">
        <v>7.57</v>
      </c>
      <c r="E256" s="301" t="s">
        <v>419</v>
      </c>
      <c r="F256" s="5">
        <v>5</v>
      </c>
    </row>
    <row r="257" spans="1:6" x14ac:dyDescent="0.25">
      <c r="A257" s="2" t="s">
        <v>1249</v>
      </c>
      <c r="B257" s="26" t="s">
        <v>416</v>
      </c>
      <c r="C257" s="2">
        <v>19202000563</v>
      </c>
      <c r="D257" s="2">
        <v>7.49</v>
      </c>
      <c r="E257" s="301" t="s">
        <v>419</v>
      </c>
      <c r="F257" s="5">
        <v>6</v>
      </c>
    </row>
    <row r="258" spans="1:6" x14ac:dyDescent="0.25">
      <c r="A258" s="2" t="s">
        <v>1249</v>
      </c>
      <c r="B258" s="26" t="s">
        <v>416</v>
      </c>
      <c r="C258" s="2">
        <v>19202000539</v>
      </c>
      <c r="D258" s="2">
        <v>7.11</v>
      </c>
      <c r="E258" s="301" t="s">
        <v>419</v>
      </c>
      <c r="F258" s="5">
        <v>7</v>
      </c>
    </row>
    <row r="259" spans="1:6" x14ac:dyDescent="0.25">
      <c r="A259" s="2" t="s">
        <v>1249</v>
      </c>
      <c r="B259" s="26" t="s">
        <v>416</v>
      </c>
      <c r="C259" s="2">
        <v>19202000565</v>
      </c>
      <c r="D259" s="2">
        <v>7.05</v>
      </c>
      <c r="E259" s="301" t="s">
        <v>419</v>
      </c>
      <c r="F259" s="5">
        <v>8</v>
      </c>
    </row>
    <row r="260" spans="1:6" x14ac:dyDescent="0.25">
      <c r="A260" s="2" t="s">
        <v>1249</v>
      </c>
      <c r="B260" s="26" t="s">
        <v>416</v>
      </c>
      <c r="C260" s="2">
        <v>19202000532</v>
      </c>
      <c r="D260" s="2">
        <v>7.06</v>
      </c>
      <c r="E260" s="683" t="s">
        <v>420</v>
      </c>
      <c r="F260" s="5">
        <v>9</v>
      </c>
    </row>
    <row r="261" spans="1:6" x14ac:dyDescent="0.25">
      <c r="A261" s="2" t="s">
        <v>1249</v>
      </c>
      <c r="B261" s="26" t="s">
        <v>416</v>
      </c>
      <c r="C261" s="2">
        <v>19202000555</v>
      </c>
      <c r="D261" s="2">
        <v>6.8</v>
      </c>
      <c r="E261" s="683" t="s">
        <v>420</v>
      </c>
      <c r="F261" s="5">
        <v>10</v>
      </c>
    </row>
    <row r="262" spans="1:6" x14ac:dyDescent="0.25">
      <c r="A262" s="2" t="s">
        <v>1249</v>
      </c>
      <c r="B262" s="26" t="s">
        <v>416</v>
      </c>
      <c r="C262" s="2">
        <v>19202000561</v>
      </c>
      <c r="D262" s="2">
        <v>6.58</v>
      </c>
      <c r="E262" s="683" t="s">
        <v>420</v>
      </c>
      <c r="F262" s="5">
        <v>11</v>
      </c>
    </row>
    <row r="263" spans="1:6" x14ac:dyDescent="0.25">
      <c r="A263" s="2" t="s">
        <v>1249</v>
      </c>
      <c r="B263" s="26" t="s">
        <v>416</v>
      </c>
      <c r="C263" s="2">
        <v>19202000557</v>
      </c>
      <c r="D263" s="2">
        <v>6.49</v>
      </c>
      <c r="E263" s="683" t="s">
        <v>420</v>
      </c>
      <c r="F263" s="5">
        <v>12</v>
      </c>
    </row>
    <row r="264" spans="1:6" x14ac:dyDescent="0.25">
      <c r="A264" s="2" t="s">
        <v>1319</v>
      </c>
      <c r="B264" s="26" t="s">
        <v>1320</v>
      </c>
      <c r="C264" s="2">
        <v>19202100395</v>
      </c>
      <c r="D264" s="2">
        <v>8.3000000000000007</v>
      </c>
      <c r="E264" s="301" t="s">
        <v>419</v>
      </c>
      <c r="F264" s="5"/>
    </row>
    <row r="265" spans="1:6" x14ac:dyDescent="0.25">
      <c r="A265" s="2" t="s">
        <v>1319</v>
      </c>
      <c r="B265" s="26" t="s">
        <v>1320</v>
      </c>
      <c r="C265" s="2">
        <v>19202100397</v>
      </c>
      <c r="D265" s="2">
        <v>8.1300000000000008</v>
      </c>
      <c r="E265" s="301" t="s">
        <v>419</v>
      </c>
      <c r="F265" s="5"/>
    </row>
    <row r="266" spans="1:6" x14ac:dyDescent="0.25">
      <c r="A266" s="2" t="s">
        <v>1319</v>
      </c>
      <c r="B266" s="26" t="s">
        <v>1320</v>
      </c>
      <c r="C266" s="2">
        <v>19202100402</v>
      </c>
      <c r="D266" s="2">
        <v>8.0399999999999991</v>
      </c>
      <c r="E266" s="301" t="s">
        <v>419</v>
      </c>
      <c r="F266" s="5"/>
    </row>
    <row r="267" spans="1:6" x14ac:dyDescent="0.25">
      <c r="A267" s="2" t="s">
        <v>1319</v>
      </c>
      <c r="B267" s="26" t="s">
        <v>1320</v>
      </c>
      <c r="C267" s="2">
        <v>19202100358</v>
      </c>
      <c r="D267" s="2">
        <v>7.99</v>
      </c>
      <c r="E267" s="301" t="s">
        <v>419</v>
      </c>
      <c r="F267" s="5"/>
    </row>
    <row r="268" spans="1:6" x14ac:dyDescent="0.25">
      <c r="A268" s="2" t="s">
        <v>1319</v>
      </c>
      <c r="B268" s="26" t="s">
        <v>1320</v>
      </c>
      <c r="C268" s="2">
        <v>19202100366</v>
      </c>
      <c r="D268" s="2">
        <v>7.78</v>
      </c>
      <c r="E268" s="301" t="s">
        <v>419</v>
      </c>
      <c r="F268" s="5"/>
    </row>
    <row r="269" spans="1:6" x14ac:dyDescent="0.25">
      <c r="A269" s="2" t="s">
        <v>1319</v>
      </c>
      <c r="B269" s="26" t="s">
        <v>1320</v>
      </c>
      <c r="C269" s="2">
        <v>19202100368</v>
      </c>
      <c r="D269" s="2">
        <v>7.75</v>
      </c>
      <c r="E269" s="301" t="s">
        <v>419</v>
      </c>
      <c r="F269" s="5"/>
    </row>
    <row r="270" spans="1:6" x14ac:dyDescent="0.25">
      <c r="A270" s="2" t="s">
        <v>1319</v>
      </c>
      <c r="B270" s="26" t="s">
        <v>1320</v>
      </c>
      <c r="C270" s="2">
        <v>19202100389</v>
      </c>
      <c r="D270" s="2">
        <v>7.71</v>
      </c>
      <c r="E270" s="301" t="s">
        <v>419</v>
      </c>
      <c r="F270" s="5"/>
    </row>
    <row r="271" spans="1:6" x14ac:dyDescent="0.25">
      <c r="A271" s="2" t="s">
        <v>1319</v>
      </c>
      <c r="B271" s="26" t="s">
        <v>1320</v>
      </c>
      <c r="C271" s="2">
        <v>19202100393</v>
      </c>
      <c r="D271" s="2">
        <v>7.19</v>
      </c>
      <c r="E271" s="301" t="s">
        <v>419</v>
      </c>
      <c r="F271" s="5"/>
    </row>
    <row r="272" spans="1:6" x14ac:dyDescent="0.25">
      <c r="A272" s="2" t="s">
        <v>1319</v>
      </c>
      <c r="B272" s="2" t="s">
        <v>1321</v>
      </c>
      <c r="C272" s="2">
        <v>19202100398</v>
      </c>
      <c r="D272" s="2">
        <v>8.15</v>
      </c>
      <c r="E272" s="301" t="s">
        <v>419</v>
      </c>
      <c r="F272" s="5"/>
    </row>
    <row r="273" spans="1:6" x14ac:dyDescent="0.25">
      <c r="A273" s="2" t="s">
        <v>1319</v>
      </c>
      <c r="B273" s="2" t="s">
        <v>1321</v>
      </c>
      <c r="C273" s="2">
        <v>19202100367</v>
      </c>
      <c r="D273" s="2">
        <v>7.97</v>
      </c>
      <c r="E273" s="301" t="s">
        <v>419</v>
      </c>
      <c r="F273" s="5"/>
    </row>
    <row r="274" spans="1:6" x14ac:dyDescent="0.25">
      <c r="A274" s="2" t="s">
        <v>1319</v>
      </c>
      <c r="B274" s="2" t="s">
        <v>1321</v>
      </c>
      <c r="C274" s="2">
        <v>19202100396</v>
      </c>
      <c r="D274" s="2">
        <v>7.86</v>
      </c>
      <c r="E274" s="301" t="s">
        <v>419</v>
      </c>
      <c r="F274" s="5"/>
    </row>
    <row r="275" spans="1:6" x14ac:dyDescent="0.25">
      <c r="A275" s="2" t="s">
        <v>1319</v>
      </c>
      <c r="B275" s="2" t="s">
        <v>1321</v>
      </c>
      <c r="C275" s="2">
        <v>19202100399</v>
      </c>
      <c r="D275" s="2">
        <v>7.73</v>
      </c>
      <c r="E275" s="301" t="s">
        <v>419</v>
      </c>
      <c r="F275" s="5"/>
    </row>
    <row r="276" spans="1:6" x14ac:dyDescent="0.25">
      <c r="A276" s="2" t="s">
        <v>1319</v>
      </c>
      <c r="B276" s="2" t="s">
        <v>1321</v>
      </c>
      <c r="C276" s="2">
        <v>19202100401</v>
      </c>
      <c r="D276" s="2">
        <v>7.71</v>
      </c>
      <c r="E276" s="301" t="s">
        <v>419</v>
      </c>
      <c r="F276" s="5"/>
    </row>
    <row r="277" spans="1:6" x14ac:dyDescent="0.25">
      <c r="A277" s="2" t="s">
        <v>1319</v>
      </c>
      <c r="B277" s="2" t="s">
        <v>1321</v>
      </c>
      <c r="C277" s="2">
        <v>19202100400</v>
      </c>
      <c r="D277" s="2">
        <v>7.65</v>
      </c>
      <c r="E277" s="683" t="s">
        <v>420</v>
      </c>
      <c r="F277" s="5"/>
    </row>
    <row r="278" spans="1:6" x14ac:dyDescent="0.25">
      <c r="A278" s="2" t="s">
        <v>1373</v>
      </c>
      <c r="B278" s="2" t="s">
        <v>1374</v>
      </c>
      <c r="C278" s="2">
        <v>19202100894</v>
      </c>
      <c r="D278" s="2">
        <v>8.09</v>
      </c>
      <c r="E278" s="301" t="s">
        <v>419</v>
      </c>
      <c r="F278" s="5"/>
    </row>
    <row r="279" spans="1:6" x14ac:dyDescent="0.25">
      <c r="A279" s="2" t="s">
        <v>1373</v>
      </c>
      <c r="B279" s="2" t="s">
        <v>1374</v>
      </c>
      <c r="C279" s="2">
        <v>19202100981</v>
      </c>
      <c r="D279" s="2">
        <v>8.08</v>
      </c>
      <c r="E279" s="301" t="s">
        <v>419</v>
      </c>
      <c r="F279" s="5"/>
    </row>
    <row r="280" spans="1:6" x14ac:dyDescent="0.25">
      <c r="A280" s="2" t="s">
        <v>1373</v>
      </c>
      <c r="B280" s="2" t="s">
        <v>1374</v>
      </c>
      <c r="C280" s="2">
        <v>19202100993</v>
      </c>
      <c r="D280" s="2">
        <v>8.07</v>
      </c>
      <c r="E280" s="301" t="s">
        <v>419</v>
      </c>
      <c r="F280" s="5"/>
    </row>
    <row r="281" spans="1:6" x14ac:dyDescent="0.25">
      <c r="A281" s="2" t="s">
        <v>1373</v>
      </c>
      <c r="B281" s="2" t="s">
        <v>1374</v>
      </c>
      <c r="C281" s="2">
        <v>19202100992</v>
      </c>
      <c r="D281" s="2">
        <v>8.0299999999999994</v>
      </c>
      <c r="E281" s="301" t="s">
        <v>419</v>
      </c>
      <c r="F281" s="5"/>
    </row>
    <row r="282" spans="1:6" x14ac:dyDescent="0.25">
      <c r="A282" s="2" t="s">
        <v>1373</v>
      </c>
      <c r="B282" s="2" t="s">
        <v>1374</v>
      </c>
      <c r="C282" s="2">
        <v>19202100965</v>
      </c>
      <c r="D282" s="2">
        <v>7.83</v>
      </c>
      <c r="E282" s="301" t="s">
        <v>419</v>
      </c>
      <c r="F282" s="5"/>
    </row>
    <row r="283" spans="1:6" x14ac:dyDescent="0.25">
      <c r="A283" s="2" t="s">
        <v>1373</v>
      </c>
      <c r="B283" s="2" t="s">
        <v>1374</v>
      </c>
      <c r="C283" s="2">
        <v>19202100990</v>
      </c>
      <c r="D283" s="2">
        <v>7.79</v>
      </c>
      <c r="E283" s="301" t="s">
        <v>419</v>
      </c>
      <c r="F283" s="5"/>
    </row>
    <row r="284" spans="1:6" x14ac:dyDescent="0.25">
      <c r="A284" s="2" t="s">
        <v>1373</v>
      </c>
      <c r="B284" s="2" t="s">
        <v>1374</v>
      </c>
      <c r="C284" s="2">
        <v>19202100997</v>
      </c>
      <c r="D284" s="2">
        <v>7.75</v>
      </c>
      <c r="E284" s="683" t="s">
        <v>420</v>
      </c>
      <c r="F284" s="5"/>
    </row>
    <row r="285" spans="1:6" x14ac:dyDescent="0.25">
      <c r="A285" s="2" t="s">
        <v>1373</v>
      </c>
      <c r="B285" s="2" t="s">
        <v>1374</v>
      </c>
      <c r="C285" s="2">
        <v>19202100988</v>
      </c>
      <c r="D285" s="2">
        <v>7.71</v>
      </c>
      <c r="E285" s="683" t="s">
        <v>420</v>
      </c>
      <c r="F285" s="5"/>
    </row>
    <row r="286" spans="1:6" x14ac:dyDescent="0.25">
      <c r="A286" s="2" t="s">
        <v>1373</v>
      </c>
      <c r="B286" s="2" t="s">
        <v>1374</v>
      </c>
      <c r="C286" s="2">
        <v>19202100996</v>
      </c>
      <c r="D286" s="2">
        <v>7.51</v>
      </c>
      <c r="E286" s="683" t="s">
        <v>420</v>
      </c>
      <c r="F286" s="5"/>
    </row>
    <row r="287" spans="1:6" x14ac:dyDescent="0.25">
      <c r="A287" s="2" t="s">
        <v>1373</v>
      </c>
      <c r="B287" s="2" t="s">
        <v>1374</v>
      </c>
      <c r="C287" s="2">
        <v>19202100979</v>
      </c>
      <c r="D287" s="2">
        <v>7.45</v>
      </c>
      <c r="E287" s="683" t="s">
        <v>420</v>
      </c>
      <c r="F287" s="5"/>
    </row>
    <row r="288" spans="1:6" x14ac:dyDescent="0.25">
      <c r="A288" s="2" t="s">
        <v>1373</v>
      </c>
      <c r="B288" s="2" t="s">
        <v>1374</v>
      </c>
      <c r="C288" s="2">
        <v>19202100984</v>
      </c>
      <c r="D288" s="2">
        <v>7.44</v>
      </c>
      <c r="E288" s="683" t="s">
        <v>420</v>
      </c>
      <c r="F288" s="5"/>
    </row>
    <row r="289" spans="1:6" x14ac:dyDescent="0.25">
      <c r="A289" s="2" t="s">
        <v>1373</v>
      </c>
      <c r="B289" s="2" t="s">
        <v>1374</v>
      </c>
      <c r="C289" s="2">
        <v>19202100983</v>
      </c>
      <c r="D289" s="2">
        <v>7.22</v>
      </c>
      <c r="E289" s="683" t="s">
        <v>420</v>
      </c>
      <c r="F289" s="5"/>
    </row>
    <row r="290" spans="1:6" x14ac:dyDescent="0.25">
      <c r="A290" s="2" t="s">
        <v>1373</v>
      </c>
      <c r="B290" s="2" t="s">
        <v>1374</v>
      </c>
      <c r="C290" s="2">
        <v>19202100995</v>
      </c>
      <c r="D290" s="2">
        <v>7.18</v>
      </c>
      <c r="E290" s="683" t="s">
        <v>420</v>
      </c>
      <c r="F290" s="5"/>
    </row>
    <row r="291" spans="1:6" x14ac:dyDescent="0.25">
      <c r="A291" s="2" t="s">
        <v>1373</v>
      </c>
      <c r="B291" s="2" t="s">
        <v>1374</v>
      </c>
      <c r="C291" s="2">
        <v>19202100891</v>
      </c>
      <c r="D291" s="2">
        <v>7.1</v>
      </c>
      <c r="E291" s="683" t="s">
        <v>420</v>
      </c>
      <c r="F291" s="5"/>
    </row>
    <row r="292" spans="1:6" x14ac:dyDescent="0.25">
      <c r="A292" s="2" t="s">
        <v>1373</v>
      </c>
      <c r="B292" s="2" t="s">
        <v>1375</v>
      </c>
      <c r="C292" s="2">
        <v>19202100870</v>
      </c>
      <c r="D292" s="2">
        <v>8.33</v>
      </c>
      <c r="E292" s="301" t="s">
        <v>419</v>
      </c>
      <c r="F292" s="5"/>
    </row>
    <row r="293" spans="1:6" x14ac:dyDescent="0.25">
      <c r="A293" s="2" t="s">
        <v>1373</v>
      </c>
      <c r="B293" s="2" t="s">
        <v>1375</v>
      </c>
      <c r="C293" s="2">
        <v>19202100923</v>
      </c>
      <c r="D293" s="2">
        <v>8.1199999999999992</v>
      </c>
      <c r="E293" s="301" t="s">
        <v>419</v>
      </c>
      <c r="F293" s="5"/>
    </row>
    <row r="294" spans="1:6" x14ac:dyDescent="0.25">
      <c r="A294" s="2" t="s">
        <v>1373</v>
      </c>
      <c r="B294" s="2" t="s">
        <v>1375</v>
      </c>
      <c r="C294" s="2">
        <v>19202100987</v>
      </c>
      <c r="D294" s="2">
        <v>7.23</v>
      </c>
      <c r="E294" s="301" t="s">
        <v>419</v>
      </c>
      <c r="F294" s="5"/>
    </row>
    <row r="295" spans="1:6" x14ac:dyDescent="0.25">
      <c r="A295" s="2" t="s">
        <v>1373</v>
      </c>
      <c r="B295" s="2" t="s">
        <v>1375</v>
      </c>
      <c r="C295" s="2">
        <v>19202100994</v>
      </c>
      <c r="D295" s="2">
        <v>6.85</v>
      </c>
      <c r="E295" s="683" t="s">
        <v>420</v>
      </c>
      <c r="F295" s="5"/>
    </row>
    <row r="296" spans="1:6" x14ac:dyDescent="0.25">
      <c r="A296" s="554" t="s">
        <v>1457</v>
      </c>
      <c r="B296" s="554" t="s">
        <v>1374</v>
      </c>
      <c r="C296" s="2">
        <v>19202101547</v>
      </c>
      <c r="D296" s="2">
        <v>8.39</v>
      </c>
      <c r="E296" s="301" t="s">
        <v>419</v>
      </c>
      <c r="F296" s="5"/>
    </row>
    <row r="297" spans="1:6" x14ac:dyDescent="0.25">
      <c r="A297" s="554" t="s">
        <v>1457</v>
      </c>
      <c r="B297" s="554" t="s">
        <v>1374</v>
      </c>
      <c r="C297" s="2">
        <v>19202101553</v>
      </c>
      <c r="D297" s="2">
        <v>8.01</v>
      </c>
      <c r="E297" s="301" t="s">
        <v>419</v>
      </c>
      <c r="F297" s="5"/>
    </row>
    <row r="298" spans="1:6" x14ac:dyDescent="0.25">
      <c r="A298" s="554" t="s">
        <v>1457</v>
      </c>
      <c r="B298" s="554" t="s">
        <v>1374</v>
      </c>
      <c r="C298" s="2">
        <v>19202101544</v>
      </c>
      <c r="D298" s="2">
        <v>7.98</v>
      </c>
      <c r="E298" s="301" t="s">
        <v>419</v>
      </c>
      <c r="F298" s="5"/>
    </row>
    <row r="299" spans="1:6" x14ac:dyDescent="0.25">
      <c r="A299" s="554" t="s">
        <v>1457</v>
      </c>
      <c r="B299" s="554" t="s">
        <v>1374</v>
      </c>
      <c r="C299" s="2">
        <v>19202101541</v>
      </c>
      <c r="D299" s="2">
        <v>7.9</v>
      </c>
      <c r="E299" s="301" t="s">
        <v>419</v>
      </c>
      <c r="F299" s="5"/>
    </row>
    <row r="300" spans="1:6" x14ac:dyDescent="0.25">
      <c r="A300" s="554" t="s">
        <v>1457</v>
      </c>
      <c r="B300" s="554" t="s">
        <v>1374</v>
      </c>
      <c r="C300" s="2">
        <v>19202101545</v>
      </c>
      <c r="D300" s="2">
        <v>7.51</v>
      </c>
      <c r="E300" s="683" t="s">
        <v>420</v>
      </c>
      <c r="F300" s="5"/>
    </row>
    <row r="301" spans="1:6" x14ac:dyDescent="0.25">
      <c r="A301" s="554" t="s">
        <v>1457</v>
      </c>
      <c r="B301" s="554" t="s">
        <v>1374</v>
      </c>
      <c r="C301" s="2">
        <v>19202101542</v>
      </c>
      <c r="D301" s="2">
        <v>7.36</v>
      </c>
      <c r="E301" s="683" t="s">
        <v>420</v>
      </c>
      <c r="F301" s="5"/>
    </row>
    <row r="302" spans="1:6" x14ac:dyDescent="0.25">
      <c r="A302" s="554" t="s">
        <v>1457</v>
      </c>
      <c r="B302" s="2" t="s">
        <v>1458</v>
      </c>
      <c r="C302" s="2">
        <v>19202101540</v>
      </c>
      <c r="D302" s="2">
        <v>8.3000000000000007</v>
      </c>
      <c r="E302" s="301" t="s">
        <v>419</v>
      </c>
      <c r="F302" s="5"/>
    </row>
    <row r="303" spans="1:6" x14ac:dyDescent="0.25">
      <c r="A303" s="554" t="s">
        <v>1457</v>
      </c>
      <c r="B303" s="2" t="s">
        <v>1458</v>
      </c>
      <c r="C303" s="2">
        <v>19202101548</v>
      </c>
      <c r="D303" s="2">
        <v>8.18</v>
      </c>
      <c r="E303" s="301" t="s">
        <v>419</v>
      </c>
      <c r="F303" s="5"/>
    </row>
    <row r="304" spans="1:6" x14ac:dyDescent="0.25">
      <c r="A304" s="554" t="s">
        <v>1457</v>
      </c>
      <c r="B304" s="2" t="s">
        <v>1458</v>
      </c>
      <c r="C304" s="2">
        <v>19202101552</v>
      </c>
      <c r="D304" s="2">
        <v>7.76</v>
      </c>
      <c r="E304" s="301" t="s">
        <v>419</v>
      </c>
      <c r="F304" s="5"/>
    </row>
    <row r="305" spans="1:6" x14ac:dyDescent="0.25">
      <c r="A305" s="554" t="s">
        <v>1457</v>
      </c>
      <c r="B305" s="2" t="s">
        <v>1458</v>
      </c>
      <c r="C305" s="2">
        <v>19202101549</v>
      </c>
      <c r="D305" s="2">
        <v>7.66</v>
      </c>
      <c r="E305" s="301" t="s">
        <v>419</v>
      </c>
      <c r="F305" s="5"/>
    </row>
    <row r="306" spans="1:6" x14ac:dyDescent="0.25">
      <c r="A306" s="554" t="s">
        <v>1457</v>
      </c>
      <c r="B306" s="2" t="s">
        <v>1458</v>
      </c>
      <c r="C306" s="2">
        <v>19202101550</v>
      </c>
      <c r="D306" s="2">
        <v>7.56</v>
      </c>
      <c r="E306" s="301" t="s">
        <v>419</v>
      </c>
      <c r="F306" s="5"/>
    </row>
    <row r="307" spans="1:6" x14ac:dyDescent="0.25">
      <c r="A307" s="554" t="s">
        <v>1457</v>
      </c>
      <c r="B307" s="2" t="s">
        <v>1458</v>
      </c>
      <c r="C307" s="2">
        <v>19202101516</v>
      </c>
      <c r="D307" s="2">
        <v>7.21</v>
      </c>
      <c r="E307" s="683" t="s">
        <v>420</v>
      </c>
      <c r="F307" s="5"/>
    </row>
    <row r="308" spans="1:6" x14ac:dyDescent="0.25">
      <c r="A308" s="2" t="s">
        <v>1467</v>
      </c>
      <c r="B308" s="2" t="s">
        <v>1468</v>
      </c>
      <c r="C308" s="2">
        <v>19202101622</v>
      </c>
      <c r="D308" s="2">
        <v>7.92</v>
      </c>
      <c r="E308" s="301" t="s">
        <v>419</v>
      </c>
      <c r="F308" s="5"/>
    </row>
    <row r="309" spans="1:6" x14ac:dyDescent="0.25">
      <c r="A309" s="2" t="s">
        <v>1467</v>
      </c>
      <c r="B309" s="2" t="s">
        <v>1468</v>
      </c>
      <c r="C309" s="2">
        <v>19202101623</v>
      </c>
      <c r="D309" s="2">
        <v>7.55</v>
      </c>
      <c r="E309" s="301" t="s">
        <v>419</v>
      </c>
      <c r="F309" s="5"/>
    </row>
    <row r="310" spans="1:6" x14ac:dyDescent="0.25">
      <c r="A310" s="2" t="s">
        <v>1467</v>
      </c>
      <c r="B310" s="2" t="s">
        <v>1468</v>
      </c>
      <c r="C310" s="2">
        <v>19202101624</v>
      </c>
      <c r="D310" s="2">
        <v>7.55</v>
      </c>
      <c r="E310" s="301" t="s">
        <v>419</v>
      </c>
      <c r="F310" s="5"/>
    </row>
    <row r="311" spans="1:6" x14ac:dyDescent="0.25">
      <c r="A311" s="2" t="s">
        <v>1467</v>
      </c>
      <c r="B311" s="2" t="s">
        <v>1468</v>
      </c>
      <c r="C311" s="2">
        <v>19202101621</v>
      </c>
      <c r="D311" s="2">
        <v>7.3</v>
      </c>
      <c r="E311" s="301" t="s">
        <v>419</v>
      </c>
      <c r="F311" s="5"/>
    </row>
    <row r="312" spans="1:6" x14ac:dyDescent="0.25">
      <c r="A312" s="843" t="s">
        <v>1555</v>
      </c>
      <c r="B312" s="554" t="s">
        <v>1374</v>
      </c>
      <c r="C312" s="843">
        <v>19202200442</v>
      </c>
      <c r="D312" s="843">
        <v>8.1029999999999998</v>
      </c>
      <c r="E312" s="301" t="s">
        <v>419</v>
      </c>
    </row>
    <row r="313" spans="1:6" x14ac:dyDescent="0.25">
      <c r="A313" s="843" t="s">
        <v>1555</v>
      </c>
      <c r="B313" s="554" t="s">
        <v>1374</v>
      </c>
      <c r="C313" s="843">
        <v>19202200449</v>
      </c>
      <c r="D313" s="843">
        <v>7.673</v>
      </c>
      <c r="E313" s="301" t="s">
        <v>419</v>
      </c>
    </row>
    <row r="314" spans="1:6" x14ac:dyDescent="0.25">
      <c r="A314" s="843" t="s">
        <v>1555</v>
      </c>
      <c r="B314" s="554" t="s">
        <v>1374</v>
      </c>
      <c r="C314" s="843">
        <v>19202200455</v>
      </c>
      <c r="D314" s="843">
        <v>7.5739999999999998</v>
      </c>
      <c r="E314" s="301" t="s">
        <v>419</v>
      </c>
    </row>
    <row r="315" spans="1:6" x14ac:dyDescent="0.25">
      <c r="A315" s="843" t="s">
        <v>1555</v>
      </c>
      <c r="B315" s="554" t="s">
        <v>1374</v>
      </c>
      <c r="C315" s="843">
        <v>19202200453</v>
      </c>
      <c r="D315" s="843">
        <v>7.4</v>
      </c>
      <c r="E315" s="301" t="s">
        <v>419</v>
      </c>
    </row>
    <row r="316" spans="1:6" x14ac:dyDescent="0.25">
      <c r="A316" s="843" t="s">
        <v>1555</v>
      </c>
      <c r="B316" s="843" t="s">
        <v>1458</v>
      </c>
      <c r="C316" s="843">
        <v>19202200454</v>
      </c>
      <c r="D316" s="843">
        <v>8.6489999999999991</v>
      </c>
      <c r="E316" s="301" t="s">
        <v>419</v>
      </c>
    </row>
    <row r="317" spans="1:6" x14ac:dyDescent="0.25">
      <c r="A317" s="843" t="s">
        <v>1555</v>
      </c>
      <c r="B317" s="843" t="s">
        <v>1458</v>
      </c>
      <c r="C317" s="843">
        <v>19202200452</v>
      </c>
      <c r="D317" s="843">
        <v>8.0549999999999997</v>
      </c>
      <c r="E317" s="301" t="s">
        <v>419</v>
      </c>
    </row>
  </sheetData>
  <sortState ref="A28:E44">
    <sortCondition descending="1" ref="C28:C44"/>
  </sortState>
  <mergeCells count="1">
    <mergeCell ref="A1:F1"/>
  </mergeCells>
  <hyperlinks>
    <hyperlink ref="C212" r:id="rId1" location="/router?komponent=taotlus&amp;id=777991&amp;kuva=ava" display="https://pms.arib.pria.ee/pms-menetlus/ - /router?komponent=taotlus&amp;id=777991&amp;kuva=ava"/>
    <hyperlink ref="C226" r:id="rId2" location="/router?komponent=taotlus&amp;id=879832&amp;kuva=ava" display="https://pms.arib.pria.ee/pms-menetlus/ - /router?komponent=taotlus&amp;id=879832&amp;kuva=ava"/>
    <hyperlink ref="C228" r:id="rId3" location="/router?komponent=taotlus&amp;id=882969&amp;kuva=ava" display="https://pms.arib.pria.ee/pms-menetlus/ - /router?komponent=taotlus&amp;id=882969&amp;kuva=ava"/>
    <hyperlink ref="C227" r:id="rId4" location="/router?komponent=taotlus&amp;id=881363&amp;kuva=ava" display="/router?komponent=taotlus&amp;id=881363&amp;kuva=ava"/>
    <hyperlink ref="C229" r:id="rId5" location="/router?komponent=taotlus&amp;id=882144&amp;kuva=ava" display="https://pms.arib.pria.ee/pms-menetlus/ - /router?komponent=taotlus&amp;id=882144&amp;kuva=ava"/>
    <hyperlink ref="C231" r:id="rId6" location="/router?komponent=taotlus&amp;id=880645&amp;kuva=ava" display="https://pms.arib.pria.ee/pms-menetlus/ - /router?komponent=taotlus&amp;id=880645&amp;kuva=ava"/>
    <hyperlink ref="C232" r:id="rId7" location="/router?komponent=taotlus&amp;id=883589&amp;kuva=ava" display="https://pms.arib.pria.ee/pms-menetlus/ - /router?komponent=taotlus&amp;id=883589&amp;kuva=ava"/>
    <hyperlink ref="C233" r:id="rId8" location="/router?komponent=taotlus&amp;id=879251&amp;kuva=ava" display="https://pms.arib.pria.ee/pms-menetlus/ - /router?komponent=taotlus&amp;id=879251&amp;kuva=ava"/>
    <hyperlink ref="C234" r:id="rId9" location="/router?komponent=taotlus&amp;id=879838&amp;kuva=ava" display="https://pms.arib.pria.ee/pms-menetlus/ - /router?komponent=taotlus&amp;id=879838&amp;kuva=ava"/>
    <hyperlink ref="C235" r:id="rId10" location="/router?komponent=taotlus&amp;id=879704&amp;kuva=ava" display="https://pms.arib.pria.ee/pms-menetlus/ - /router?komponent=taotlus&amp;id=879704&amp;kuva=ava"/>
    <hyperlink ref="C230" r:id="rId11" location="/router?komponent=taotlus&amp;id=883202&amp;kuva=ava" display="https://pms.arib.pria.ee/pms-menetlus/ - /router?komponent=taotlus&amp;id=883202&amp;kuva=ava"/>
    <hyperlink ref="C236" r:id="rId12" location="/router?komponent=taotlus&amp;id=879250&amp;kuva=ava" display="https://pms.arib.pria.ee/pms-menetlus/ - /router?komponent=taotlus&amp;id=879250&amp;kuva=ava"/>
    <hyperlink ref="C237" r:id="rId13" location="/router?komponent=taotlus&amp;id=882196&amp;kuva=ava" display="https://pms.arib.pria.ee/pms-menetlus/ - /router?komponent=taotlus&amp;id=882196&amp;kuva=ava"/>
    <hyperlink ref="C238" r:id="rId14" location="/router?komponent=taotlus&amp;id=880811&amp;kuva=ava" display="https://pms.arib.pria.ee/pms-menetlus/ - /router?komponent=taotlus&amp;id=880811&amp;kuva=ava"/>
    <hyperlink ref="C239" r:id="rId15" location="/router?komponent=taotlus&amp;id=879638&amp;kuva=ava" display="https://pms.arib.pria.ee/pms-menetlus/ - /router?komponent=taotlus&amp;id=879638&amp;kuva=ava"/>
    <hyperlink ref="C240" r:id="rId16" location="/router?komponent=taotlus&amp;id=882882&amp;kuva=ava" display="https://pms.arib.pria.ee/pms-menetlus/ - /router?komponent=taotlus&amp;id=882882&amp;kuva=ava"/>
    <hyperlink ref="C241" r:id="rId17" location="/router?komponent=taotlus&amp;id=882201&amp;kuva=ava" display="https://pms.arib.pria.ee/pms-menetlus/ - /router?komponent=taotlus&amp;id=882201&amp;kuva=ava"/>
    <hyperlink ref="C242" r:id="rId18" location="/router?komponent=taotlus&amp;id=884739&amp;kuva=ava" display="https://pms.arib.pria.ee/pms-menetlus/ - /router?komponent=taotlus&amp;id=884739&amp;kuva=ava"/>
    <hyperlink ref="C243" r:id="rId19" location="/router?komponent=taotlus&amp;id=879459&amp;kuva=ava" display="https://pms.arib.pria.ee/pms-menetlus/ - /router?komponent=taotlus&amp;id=879459&amp;kuva=ava"/>
    <hyperlink ref="C244" r:id="rId20" location="/router?komponent=taotlus&amp;id=879640&amp;kuva=ava" display="https://pms.arib.pria.ee/pms-menetlus/ - /router?komponent=taotlus&amp;id=879640&amp;kuva=ava"/>
    <hyperlink ref="C245" r:id="rId21" location="/router?komponent=taotlus&amp;id=879689&amp;kuva=ava" display="https://pms.arib.pria.ee/pms-menetlus/ - /router?komponent=taotlus&amp;id=879689&amp;kuva=ava"/>
    <hyperlink ref="C246" r:id="rId22" location="/router?komponent=taotlus&amp;id=882148&amp;kuva=ava" display="https://pms.arib.pria.ee/pms-menetlus/ - /router?komponent=taotlus&amp;id=882148&amp;kuva=ava"/>
    <hyperlink ref="C247" r:id="rId23" location="/router?komponent=taotlus&amp;id=882138&amp;kuva=ava" display="https://pms.arib.pria.ee/pms-menetlus/ - /router?komponent=taotlus&amp;id=882138&amp;kuva=ava"/>
    <hyperlink ref="C248" r:id="rId24" location="/router?komponent=taotlus&amp;id=881686&amp;kuva=ava" display="https://pms.arib.pria.ee/pms-menetlus/ - /router?komponent=taotlus&amp;id=881686&amp;kuva=ava"/>
    <hyperlink ref="C249" r:id="rId25" location="/router?komponent=taotlus&amp;id=882135&amp;kuva=ava" display="https://pms.arib.pria.ee/pms-menetlus/ - /router?komponent=taotlus&amp;id=882135&amp;kuva=ava"/>
    <hyperlink ref="C250" r:id="rId26" location="/router?komponent=taotlus&amp;id=882006&amp;kuva=ava" display="https://pms.arib.pria.ee/pms-menetlus/ - /router?komponent=taotlus&amp;id=882006&amp;kuva=ava"/>
    <hyperlink ref="C251" r:id="rId27" location="/router?komponent=taotlus&amp;id=881268&amp;kuva=ava" display="https://pms.arib.pria.ee/pms-menetlus/ - /router?komponent=taotlus&amp;id=881268&amp;kuva=ava"/>
  </hyperlinks>
  <pageMargins left="0.7" right="0.7" top="0.75" bottom="0.75" header="0.3" footer="0.3"/>
  <pageSetup paperSize="9" orientation="portrait" r:id="rId28"/>
  <ignoredErrors>
    <ignoredError sqref="C52:C55 C28 C27 C29:C3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1"/>
  <sheetViews>
    <sheetView workbookViewId="0">
      <pane ySplit="2" topLeftCell="A295" activePane="bottomLeft" state="frozen"/>
      <selection pane="bottomLeft" activeCell="G290" sqref="G290"/>
    </sheetView>
  </sheetViews>
  <sheetFormatPr defaultRowHeight="15" x14ac:dyDescent="0.25"/>
  <cols>
    <col min="1" max="1" width="22" customWidth="1"/>
    <col min="2" max="2" width="53.5703125" bestFit="1" customWidth="1"/>
    <col min="3" max="3" width="23.140625" customWidth="1"/>
    <col min="4" max="4" width="20.85546875" customWidth="1"/>
    <col min="5" max="5" width="24.85546875" customWidth="1"/>
  </cols>
  <sheetData>
    <row r="1" spans="1:5" ht="15.75" x14ac:dyDescent="0.25">
      <c r="A1" s="847" t="s">
        <v>23</v>
      </c>
      <c r="B1" s="848"/>
      <c r="C1" s="848"/>
      <c r="D1" s="848"/>
      <c r="E1" s="849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36</v>
      </c>
      <c r="B3" s="111" t="s">
        <v>37</v>
      </c>
      <c r="C3" s="48" t="str">
        <f>"619216590206"</f>
        <v>619216590206</v>
      </c>
      <c r="D3" s="89">
        <v>3.605</v>
      </c>
      <c r="E3" s="39" t="s">
        <v>419</v>
      </c>
    </row>
    <row r="4" spans="1:5" x14ac:dyDescent="0.25">
      <c r="A4" s="60" t="s">
        <v>36</v>
      </c>
      <c r="B4" s="4" t="s">
        <v>37</v>
      </c>
      <c r="C4" s="5" t="str">
        <f>"619216590207"</f>
        <v>619216590207</v>
      </c>
      <c r="D4" s="8">
        <v>3.3090000000000002</v>
      </c>
      <c r="E4" s="41" t="s">
        <v>419</v>
      </c>
    </row>
    <row r="5" spans="1:5" x14ac:dyDescent="0.25">
      <c r="A5" s="60" t="s">
        <v>36</v>
      </c>
      <c r="B5" s="4" t="s">
        <v>37</v>
      </c>
      <c r="C5" s="5" t="str">
        <f>"619216590208"</f>
        <v>619216590208</v>
      </c>
      <c r="D5" s="8">
        <v>3.2679999999999998</v>
      </c>
      <c r="E5" s="41" t="s">
        <v>419</v>
      </c>
    </row>
    <row r="6" spans="1:5" x14ac:dyDescent="0.25">
      <c r="A6" s="60" t="s">
        <v>36</v>
      </c>
      <c r="B6" s="4" t="s">
        <v>37</v>
      </c>
      <c r="C6" s="5" t="str">
        <f>"619216590209"</f>
        <v>619216590209</v>
      </c>
      <c r="D6" s="8">
        <v>3.1360000000000001</v>
      </c>
      <c r="E6" s="41" t="s">
        <v>419</v>
      </c>
    </row>
    <row r="7" spans="1:5" x14ac:dyDescent="0.25">
      <c r="A7" s="60" t="s">
        <v>36</v>
      </c>
      <c r="B7" s="4" t="s">
        <v>37</v>
      </c>
      <c r="C7" s="5" t="str">
        <f>"619216590205"</f>
        <v>619216590205</v>
      </c>
      <c r="D7" s="8">
        <v>3.036</v>
      </c>
      <c r="E7" s="41" t="s">
        <v>419</v>
      </c>
    </row>
    <row r="8" spans="1:5" x14ac:dyDescent="0.25">
      <c r="A8" s="60" t="s">
        <v>36</v>
      </c>
      <c r="B8" s="4" t="s">
        <v>37</v>
      </c>
      <c r="C8" s="5" t="str">
        <f>"619216590210"</f>
        <v>619216590210</v>
      </c>
      <c r="D8" s="8">
        <v>3.0230000000000001</v>
      </c>
      <c r="E8" s="41" t="s">
        <v>419</v>
      </c>
    </row>
    <row r="9" spans="1:5" x14ac:dyDescent="0.25">
      <c r="A9" s="60" t="s">
        <v>36</v>
      </c>
      <c r="B9" s="4" t="s">
        <v>37</v>
      </c>
      <c r="C9" s="5" t="str">
        <f>"619216590211"</f>
        <v>619216590211</v>
      </c>
      <c r="D9" s="8">
        <v>2.927</v>
      </c>
      <c r="E9" s="41" t="s">
        <v>419</v>
      </c>
    </row>
    <row r="10" spans="1:5" x14ac:dyDescent="0.25">
      <c r="A10" s="60" t="s">
        <v>36</v>
      </c>
      <c r="B10" s="4" t="s">
        <v>37</v>
      </c>
      <c r="C10" s="5" t="str">
        <f>"619216590213"</f>
        <v>619216590213</v>
      </c>
      <c r="D10" s="8">
        <v>2.895</v>
      </c>
      <c r="E10" s="41" t="s">
        <v>419</v>
      </c>
    </row>
    <row r="11" spans="1:5" x14ac:dyDescent="0.25">
      <c r="A11" s="60" t="s">
        <v>36</v>
      </c>
      <c r="B11" s="4" t="s">
        <v>37</v>
      </c>
      <c r="C11" s="5" t="str">
        <f>"619216590212"</f>
        <v>619216590212</v>
      </c>
      <c r="D11" s="8">
        <v>2.859</v>
      </c>
      <c r="E11" s="41" t="s">
        <v>419</v>
      </c>
    </row>
    <row r="12" spans="1:5" x14ac:dyDescent="0.25">
      <c r="A12" s="60" t="s">
        <v>36</v>
      </c>
      <c r="B12" s="4" t="s">
        <v>37</v>
      </c>
      <c r="C12" s="5" t="str">
        <f>"619216590214"</f>
        <v>619216590214</v>
      </c>
      <c r="D12" s="8">
        <v>2.859</v>
      </c>
      <c r="E12" s="41" t="s">
        <v>419</v>
      </c>
    </row>
    <row r="13" spans="1:5" x14ac:dyDescent="0.25">
      <c r="A13" s="60" t="s">
        <v>36</v>
      </c>
      <c r="B13" s="4" t="s">
        <v>37</v>
      </c>
      <c r="C13" s="5" t="str">
        <f>"619216590215"</f>
        <v>619216590215</v>
      </c>
      <c r="D13" s="8">
        <v>2.8050000000000002</v>
      </c>
      <c r="E13" s="41" t="s">
        <v>419</v>
      </c>
    </row>
    <row r="14" spans="1:5" x14ac:dyDescent="0.25">
      <c r="A14" s="60" t="s">
        <v>36</v>
      </c>
      <c r="B14" s="4" t="s">
        <v>37</v>
      </c>
      <c r="C14" s="5" t="str">
        <f>"619216590216"</f>
        <v>619216590216</v>
      </c>
      <c r="D14" s="8">
        <v>2.7679999999999998</v>
      </c>
      <c r="E14" s="41" t="s">
        <v>419</v>
      </c>
    </row>
    <row r="15" spans="1:5" x14ac:dyDescent="0.25">
      <c r="A15" s="60" t="s">
        <v>36</v>
      </c>
      <c r="B15" s="4" t="s">
        <v>37</v>
      </c>
      <c r="C15" s="5" t="str">
        <f>"619216590217"</f>
        <v>619216590217</v>
      </c>
      <c r="D15" s="8">
        <v>2.7050000000000001</v>
      </c>
      <c r="E15" s="41" t="s">
        <v>419</v>
      </c>
    </row>
    <row r="16" spans="1:5" x14ac:dyDescent="0.25">
      <c r="A16" s="60" t="s">
        <v>36</v>
      </c>
      <c r="B16" s="4" t="s">
        <v>37</v>
      </c>
      <c r="C16" s="5" t="str">
        <f>"619216590218"</f>
        <v>619216590218</v>
      </c>
      <c r="D16" s="8">
        <v>2.6909999999999998</v>
      </c>
      <c r="E16" s="41" t="s">
        <v>419</v>
      </c>
    </row>
    <row r="17" spans="1:5" x14ac:dyDescent="0.25">
      <c r="A17" s="60" t="s">
        <v>36</v>
      </c>
      <c r="B17" s="4" t="s">
        <v>37</v>
      </c>
      <c r="C17" s="5" t="str">
        <f>"619216590219"</f>
        <v>619216590219</v>
      </c>
      <c r="D17" s="8">
        <v>2.6859999999999999</v>
      </c>
      <c r="E17" s="41" t="s">
        <v>419</v>
      </c>
    </row>
    <row r="18" spans="1:5" x14ac:dyDescent="0.25">
      <c r="A18" s="60" t="s">
        <v>36</v>
      </c>
      <c r="B18" s="4" t="s">
        <v>37</v>
      </c>
      <c r="C18" s="5" t="str">
        <f>"619216590220"</f>
        <v>619216590220</v>
      </c>
      <c r="D18" s="8">
        <v>2.6640000000000001</v>
      </c>
      <c r="E18" s="41" t="s">
        <v>419</v>
      </c>
    </row>
    <row r="19" spans="1:5" x14ac:dyDescent="0.25">
      <c r="A19" s="60" t="s">
        <v>36</v>
      </c>
      <c r="B19" s="4" t="s">
        <v>37</v>
      </c>
      <c r="C19" s="5" t="str">
        <f>"619216590240"</f>
        <v>619216590240</v>
      </c>
      <c r="D19" s="8">
        <v>2.6549999999999998</v>
      </c>
      <c r="E19" s="41" t="s">
        <v>419</v>
      </c>
    </row>
    <row r="20" spans="1:5" x14ac:dyDescent="0.25">
      <c r="A20" s="50" t="s">
        <v>36</v>
      </c>
      <c r="B20" s="4" t="s">
        <v>37</v>
      </c>
      <c r="C20" s="5" t="str">
        <f>"619216590221"</f>
        <v>619216590221</v>
      </c>
      <c r="D20" s="8">
        <v>2.6549999999999998</v>
      </c>
      <c r="E20" s="66" t="s">
        <v>420</v>
      </c>
    </row>
    <row r="21" spans="1:5" x14ac:dyDescent="0.25">
      <c r="A21" s="50" t="s">
        <v>36</v>
      </c>
      <c r="B21" s="4" t="s">
        <v>37</v>
      </c>
      <c r="C21" s="5" t="str">
        <f>"619216590222"</f>
        <v>619216590222</v>
      </c>
      <c r="D21" s="8">
        <v>2.5</v>
      </c>
      <c r="E21" s="66" t="s">
        <v>420</v>
      </c>
    </row>
    <row r="22" spans="1:5" x14ac:dyDescent="0.25">
      <c r="A22" s="50" t="s">
        <v>36</v>
      </c>
      <c r="B22" s="4" t="s">
        <v>37</v>
      </c>
      <c r="C22" s="5" t="str">
        <f>"619216590223"</f>
        <v>619216590223</v>
      </c>
      <c r="D22" s="8">
        <v>2.4590000000000001</v>
      </c>
      <c r="E22" s="66" t="s">
        <v>420</v>
      </c>
    </row>
    <row r="23" spans="1:5" x14ac:dyDescent="0.25">
      <c r="A23" s="50" t="s">
        <v>36</v>
      </c>
      <c r="B23" s="4" t="s">
        <v>37</v>
      </c>
      <c r="C23" s="5" t="str">
        <f>"619216590224"</f>
        <v>619216590224</v>
      </c>
      <c r="D23" s="8">
        <v>2.4049999999999998</v>
      </c>
      <c r="E23" s="66" t="s">
        <v>420</v>
      </c>
    </row>
    <row r="24" spans="1:5" x14ac:dyDescent="0.25">
      <c r="A24" s="50" t="s">
        <v>36</v>
      </c>
      <c r="B24" s="4" t="s">
        <v>37</v>
      </c>
      <c r="C24" s="5" t="str">
        <f>"619216590225"</f>
        <v>619216590225</v>
      </c>
      <c r="D24" s="8">
        <v>2.3860000000000001</v>
      </c>
      <c r="E24" s="66" t="s">
        <v>420</v>
      </c>
    </row>
    <row r="25" spans="1:5" x14ac:dyDescent="0.25">
      <c r="A25" s="50" t="s">
        <v>36</v>
      </c>
      <c r="B25" s="4" t="s">
        <v>37</v>
      </c>
      <c r="C25" s="5" t="str">
        <f>"619216590226"</f>
        <v>619216590226</v>
      </c>
      <c r="D25" s="8">
        <v>2.3860000000000001</v>
      </c>
      <c r="E25" s="66" t="s">
        <v>420</v>
      </c>
    </row>
    <row r="26" spans="1:5" x14ac:dyDescent="0.25">
      <c r="A26" s="50" t="s">
        <v>36</v>
      </c>
      <c r="B26" s="4" t="s">
        <v>37</v>
      </c>
      <c r="C26" s="5" t="str">
        <f>"619216590227"</f>
        <v>619216590227</v>
      </c>
      <c r="D26" s="8">
        <v>2.359</v>
      </c>
      <c r="E26" s="66" t="s">
        <v>420</v>
      </c>
    </row>
    <row r="27" spans="1:5" x14ac:dyDescent="0.25">
      <c r="A27" s="50" t="s">
        <v>36</v>
      </c>
      <c r="B27" s="4" t="s">
        <v>37</v>
      </c>
      <c r="C27" s="5" t="str">
        <f>"619216590228"</f>
        <v>619216590228</v>
      </c>
      <c r="D27" s="8">
        <v>2.35</v>
      </c>
      <c r="E27" s="66" t="s">
        <v>420</v>
      </c>
    </row>
    <row r="28" spans="1:5" x14ac:dyDescent="0.25">
      <c r="A28" s="50" t="s">
        <v>36</v>
      </c>
      <c r="B28" s="4" t="s">
        <v>37</v>
      </c>
      <c r="C28" s="5" t="str">
        <f>"619216590229"</f>
        <v>619216590229</v>
      </c>
      <c r="D28" s="8">
        <v>2.3090000000000002</v>
      </c>
      <c r="E28" s="66" t="s">
        <v>420</v>
      </c>
    </row>
    <row r="29" spans="1:5" x14ac:dyDescent="0.25">
      <c r="A29" s="50" t="s">
        <v>36</v>
      </c>
      <c r="B29" s="4" t="s">
        <v>37</v>
      </c>
      <c r="C29" s="5" t="str">
        <f>"619216590230"</f>
        <v>619216590230</v>
      </c>
      <c r="D29" s="8">
        <v>2.2949999999999999</v>
      </c>
      <c r="E29" s="66" t="s">
        <v>420</v>
      </c>
    </row>
    <row r="30" spans="1:5" x14ac:dyDescent="0.25">
      <c r="A30" s="50" t="s">
        <v>36</v>
      </c>
      <c r="B30" s="4" t="s">
        <v>37</v>
      </c>
      <c r="C30" s="5" t="str">
        <f>"619216590231"</f>
        <v>619216590231</v>
      </c>
      <c r="D30" s="8">
        <v>2.2679999999999998</v>
      </c>
      <c r="E30" s="66" t="s">
        <v>420</v>
      </c>
    </row>
    <row r="31" spans="1:5" x14ac:dyDescent="0.25">
      <c r="A31" s="50" t="s">
        <v>36</v>
      </c>
      <c r="B31" s="4" t="s">
        <v>37</v>
      </c>
      <c r="C31" s="5" t="str">
        <f>"619216590232"</f>
        <v>619216590232</v>
      </c>
      <c r="D31" s="8">
        <v>2.25</v>
      </c>
      <c r="E31" s="66" t="s">
        <v>420</v>
      </c>
    </row>
    <row r="32" spans="1:5" x14ac:dyDescent="0.25">
      <c r="A32" s="50" t="s">
        <v>36</v>
      </c>
      <c r="B32" s="4" t="s">
        <v>37</v>
      </c>
      <c r="C32" s="5" t="str">
        <f>"619216590233"</f>
        <v>619216590233</v>
      </c>
      <c r="D32" s="8">
        <v>2.218</v>
      </c>
      <c r="E32" s="66" t="s">
        <v>420</v>
      </c>
    </row>
    <row r="33" spans="1:5" x14ac:dyDescent="0.25">
      <c r="A33" s="50" t="s">
        <v>36</v>
      </c>
      <c r="B33" s="4" t="s">
        <v>37</v>
      </c>
      <c r="C33" s="5" t="str">
        <f>"619216590234"</f>
        <v>619216590234</v>
      </c>
      <c r="D33" s="8">
        <v>2.218</v>
      </c>
      <c r="E33" s="66" t="s">
        <v>420</v>
      </c>
    </row>
    <row r="34" spans="1:5" x14ac:dyDescent="0.25">
      <c r="A34" s="50" t="s">
        <v>36</v>
      </c>
      <c r="B34" s="4" t="s">
        <v>37</v>
      </c>
      <c r="C34" s="5" t="str">
        <f>"619216590235"</f>
        <v>619216590235</v>
      </c>
      <c r="D34" s="8">
        <v>2.1819999999999999</v>
      </c>
      <c r="E34" s="66" t="s">
        <v>420</v>
      </c>
    </row>
    <row r="35" spans="1:5" x14ac:dyDescent="0.25">
      <c r="A35" s="50" t="s">
        <v>36</v>
      </c>
      <c r="B35" s="4" t="s">
        <v>37</v>
      </c>
      <c r="C35" s="5" t="str">
        <f>"619216590236"</f>
        <v>619216590236</v>
      </c>
      <c r="D35" s="8">
        <v>2.15</v>
      </c>
      <c r="E35" s="66" t="s">
        <v>420</v>
      </c>
    </row>
    <row r="36" spans="1:5" x14ac:dyDescent="0.25">
      <c r="A36" s="50" t="s">
        <v>36</v>
      </c>
      <c r="B36" s="4" t="s">
        <v>37</v>
      </c>
      <c r="C36" s="5" t="str">
        <f>"619216590237"</f>
        <v>619216590237</v>
      </c>
      <c r="D36" s="8">
        <v>2.1360000000000001</v>
      </c>
      <c r="E36" s="66" t="s">
        <v>420</v>
      </c>
    </row>
    <row r="37" spans="1:5" x14ac:dyDescent="0.25">
      <c r="A37" s="50" t="s">
        <v>36</v>
      </c>
      <c r="B37" s="4" t="s">
        <v>37</v>
      </c>
      <c r="C37" s="5" t="str">
        <f>"619216590238"</f>
        <v>619216590238</v>
      </c>
      <c r="D37" s="8">
        <v>2.1360000000000001</v>
      </c>
      <c r="E37" s="66" t="s">
        <v>420</v>
      </c>
    </row>
    <row r="38" spans="1:5" x14ac:dyDescent="0.25">
      <c r="A38" s="50" t="s">
        <v>36</v>
      </c>
      <c r="B38" s="4" t="s">
        <v>37</v>
      </c>
      <c r="C38" s="5" t="str">
        <f>"619216590239"</f>
        <v>619216590239</v>
      </c>
      <c r="D38" s="8">
        <v>2.0819999999999999</v>
      </c>
      <c r="E38" s="66" t="s">
        <v>420</v>
      </c>
    </row>
    <row r="39" spans="1:5" x14ac:dyDescent="0.25">
      <c r="A39" s="50" t="s">
        <v>36</v>
      </c>
      <c r="B39" s="4" t="s">
        <v>37</v>
      </c>
      <c r="C39" s="5" t="str">
        <f>"619216590241"</f>
        <v>619216590241</v>
      </c>
      <c r="D39" s="8">
        <v>1.986</v>
      </c>
      <c r="E39" s="66" t="s">
        <v>420</v>
      </c>
    </row>
    <row r="40" spans="1:5" x14ac:dyDescent="0.25">
      <c r="A40" s="50" t="s">
        <v>36</v>
      </c>
      <c r="B40" s="4" t="s">
        <v>37</v>
      </c>
      <c r="C40" s="5" t="str">
        <f>"619216590242"</f>
        <v>619216590242</v>
      </c>
      <c r="D40" s="8">
        <v>1.923</v>
      </c>
      <c r="E40" s="66" t="s">
        <v>420</v>
      </c>
    </row>
    <row r="41" spans="1:5" x14ac:dyDescent="0.25">
      <c r="A41" s="50" t="s">
        <v>36</v>
      </c>
      <c r="B41" s="4" t="s">
        <v>37</v>
      </c>
      <c r="C41" s="5" t="str">
        <f>"619216590243"</f>
        <v>619216590243</v>
      </c>
      <c r="D41" s="8">
        <v>1.85</v>
      </c>
      <c r="E41" s="66" t="s">
        <v>420</v>
      </c>
    </row>
    <row r="42" spans="1:5" ht="15.75" thickBot="1" x14ac:dyDescent="0.3">
      <c r="A42" s="117" t="s">
        <v>36</v>
      </c>
      <c r="B42" s="107" t="s">
        <v>37</v>
      </c>
      <c r="C42" s="106" t="str">
        <f>"619216590244"</f>
        <v>619216590244</v>
      </c>
      <c r="D42" s="118">
        <v>1.8089999999999999</v>
      </c>
      <c r="E42" s="119" t="s">
        <v>420</v>
      </c>
    </row>
    <row r="43" spans="1:5" x14ac:dyDescent="0.25">
      <c r="A43" s="120" t="s">
        <v>417</v>
      </c>
      <c r="B43" s="115" t="s">
        <v>418</v>
      </c>
      <c r="C43" s="121" t="str">
        <f>"619216590799"</f>
        <v>619216590799</v>
      </c>
      <c r="D43" s="89">
        <v>4.375</v>
      </c>
      <c r="E43" s="39" t="s">
        <v>419</v>
      </c>
    </row>
    <row r="44" spans="1:5" x14ac:dyDescent="0.25">
      <c r="A44" s="122" t="s">
        <v>417</v>
      </c>
      <c r="B44" s="23" t="s">
        <v>418</v>
      </c>
      <c r="C44" s="12" t="str">
        <f>"619216590800"</f>
        <v>619216590800</v>
      </c>
      <c r="D44" s="8">
        <v>4.0549999999999997</v>
      </c>
      <c r="E44" s="41" t="s">
        <v>419</v>
      </c>
    </row>
    <row r="45" spans="1:5" x14ac:dyDescent="0.25">
      <c r="A45" s="122" t="s">
        <v>417</v>
      </c>
      <c r="B45" s="23" t="s">
        <v>418</v>
      </c>
      <c r="C45" s="12" t="str">
        <f>"619216590801"</f>
        <v>619216590801</v>
      </c>
      <c r="D45" s="8">
        <v>3.895</v>
      </c>
      <c r="E45" s="41" t="s">
        <v>419</v>
      </c>
    </row>
    <row r="46" spans="1:5" x14ac:dyDescent="0.25">
      <c r="A46" s="122" t="s">
        <v>417</v>
      </c>
      <c r="B46" s="23" t="s">
        <v>418</v>
      </c>
      <c r="C46" s="5" t="str">
        <f>"619216590802"</f>
        <v>619216590802</v>
      </c>
      <c r="D46" s="19">
        <v>3.76</v>
      </c>
      <c r="E46" s="41" t="s">
        <v>419</v>
      </c>
    </row>
    <row r="47" spans="1:5" x14ac:dyDescent="0.25">
      <c r="A47" s="122" t="s">
        <v>417</v>
      </c>
      <c r="B47" s="23" t="s">
        <v>418</v>
      </c>
      <c r="C47" s="5" t="str">
        <f>"619216590803"</f>
        <v>619216590803</v>
      </c>
      <c r="D47" s="19">
        <v>3.6850000000000001</v>
      </c>
      <c r="E47" s="41" t="s">
        <v>419</v>
      </c>
    </row>
    <row r="48" spans="1:5" x14ac:dyDescent="0.25">
      <c r="A48" s="122" t="s">
        <v>417</v>
      </c>
      <c r="B48" s="23" t="s">
        <v>418</v>
      </c>
      <c r="C48" s="5" t="str">
        <f>"619216590804"</f>
        <v>619216590804</v>
      </c>
      <c r="D48" s="19">
        <v>3.68</v>
      </c>
      <c r="E48" s="41" t="s">
        <v>419</v>
      </c>
    </row>
    <row r="49" spans="1:5" x14ac:dyDescent="0.25">
      <c r="A49" s="122" t="s">
        <v>417</v>
      </c>
      <c r="B49" s="23" t="s">
        <v>418</v>
      </c>
      <c r="C49" s="5" t="str">
        <f>"619216590805"</f>
        <v>619216590805</v>
      </c>
      <c r="D49" s="19">
        <v>3.61</v>
      </c>
      <c r="E49" s="41" t="s">
        <v>419</v>
      </c>
    </row>
    <row r="50" spans="1:5" x14ac:dyDescent="0.25">
      <c r="A50" s="122" t="s">
        <v>417</v>
      </c>
      <c r="B50" s="23" t="s">
        <v>418</v>
      </c>
      <c r="C50" s="5" t="str">
        <f>"619216590806"</f>
        <v>619216590806</v>
      </c>
      <c r="D50" s="19">
        <v>3.4849999999999999</v>
      </c>
      <c r="E50" s="41" t="s">
        <v>419</v>
      </c>
    </row>
    <row r="51" spans="1:5" x14ac:dyDescent="0.25">
      <c r="A51" s="122" t="s">
        <v>417</v>
      </c>
      <c r="B51" s="23" t="s">
        <v>418</v>
      </c>
      <c r="C51" s="5" t="str">
        <f>"619216590807"</f>
        <v>619216590807</v>
      </c>
      <c r="D51" s="19">
        <v>3.45</v>
      </c>
      <c r="E51" s="41" t="s">
        <v>419</v>
      </c>
    </row>
    <row r="52" spans="1:5" x14ac:dyDescent="0.25">
      <c r="A52" s="50" t="s">
        <v>417</v>
      </c>
      <c r="B52" s="123" t="s">
        <v>418</v>
      </c>
      <c r="C52" s="5" t="str">
        <f>"619216590808"</f>
        <v>619216590808</v>
      </c>
      <c r="D52" s="19">
        <v>3.3450000000000002</v>
      </c>
      <c r="E52" s="66" t="s">
        <v>420</v>
      </c>
    </row>
    <row r="53" spans="1:5" x14ac:dyDescent="0.25">
      <c r="A53" s="122" t="s">
        <v>417</v>
      </c>
      <c r="B53" s="23" t="s">
        <v>418</v>
      </c>
      <c r="C53" s="5" t="str">
        <f>"619216590809"</f>
        <v>619216590809</v>
      </c>
      <c r="D53" s="19">
        <v>3.34</v>
      </c>
      <c r="E53" s="41" t="s">
        <v>419</v>
      </c>
    </row>
    <row r="54" spans="1:5" x14ac:dyDescent="0.25">
      <c r="A54" s="50" t="s">
        <v>417</v>
      </c>
      <c r="B54" s="123" t="s">
        <v>418</v>
      </c>
      <c r="C54" s="5" t="str">
        <f>"619216590810"</f>
        <v>619216590810</v>
      </c>
      <c r="D54" s="19">
        <v>3.25</v>
      </c>
      <c r="E54" s="66" t="s">
        <v>420</v>
      </c>
    </row>
    <row r="55" spans="1:5" x14ac:dyDescent="0.25">
      <c r="A55" s="50" t="s">
        <v>417</v>
      </c>
      <c r="B55" s="123" t="s">
        <v>418</v>
      </c>
      <c r="C55" s="5" t="str">
        <f>"619216590811"</f>
        <v>619216590811</v>
      </c>
      <c r="D55" s="19">
        <v>3.21</v>
      </c>
      <c r="E55" s="66" t="s">
        <v>420</v>
      </c>
    </row>
    <row r="56" spans="1:5" x14ac:dyDescent="0.25">
      <c r="A56" s="50" t="s">
        <v>417</v>
      </c>
      <c r="B56" s="123" t="s">
        <v>418</v>
      </c>
      <c r="C56" s="5" t="str">
        <f>"619216590812"</f>
        <v>619216590812</v>
      </c>
      <c r="D56" s="19">
        <v>3.1</v>
      </c>
      <c r="E56" s="66" t="s">
        <v>420</v>
      </c>
    </row>
    <row r="57" spans="1:5" x14ac:dyDescent="0.25">
      <c r="A57" s="50" t="s">
        <v>417</v>
      </c>
      <c r="B57" s="123" t="s">
        <v>418</v>
      </c>
      <c r="C57" s="5" t="str">
        <f>"619216590813"</f>
        <v>619216590813</v>
      </c>
      <c r="D57" s="19">
        <v>2.72</v>
      </c>
      <c r="E57" s="66" t="s">
        <v>420</v>
      </c>
    </row>
    <row r="58" spans="1:5" x14ac:dyDescent="0.25">
      <c r="A58" s="50" t="s">
        <v>417</v>
      </c>
      <c r="B58" s="123" t="s">
        <v>418</v>
      </c>
      <c r="C58" s="5" t="str">
        <f>"619216590814"</f>
        <v>619216590814</v>
      </c>
      <c r="D58" s="19">
        <v>2.58</v>
      </c>
      <c r="E58" s="66" t="s">
        <v>420</v>
      </c>
    </row>
    <row r="59" spans="1:5" x14ac:dyDescent="0.25">
      <c r="A59" s="50" t="s">
        <v>417</v>
      </c>
      <c r="B59" s="123" t="s">
        <v>418</v>
      </c>
      <c r="C59" s="5" t="str">
        <f>"619216590815"</f>
        <v>619216590815</v>
      </c>
      <c r="D59" s="19">
        <v>2.5249999999999999</v>
      </c>
      <c r="E59" s="66" t="s">
        <v>420</v>
      </c>
    </row>
    <row r="60" spans="1:5" ht="15.75" thickBot="1" x14ac:dyDescent="0.3">
      <c r="A60" s="117" t="s">
        <v>417</v>
      </c>
      <c r="B60" s="334" t="s">
        <v>418</v>
      </c>
      <c r="C60" s="106" t="str">
        <f>"619216590795"</f>
        <v>619216590795</v>
      </c>
      <c r="D60" s="335">
        <v>2.0350000000000001</v>
      </c>
      <c r="E60" s="119" t="s">
        <v>420</v>
      </c>
    </row>
    <row r="61" spans="1:5" x14ac:dyDescent="0.25">
      <c r="A61" s="338" t="s">
        <v>662</v>
      </c>
      <c r="B61" s="115" t="s">
        <v>663</v>
      </c>
      <c r="C61" s="337" t="s">
        <v>648</v>
      </c>
      <c r="D61" s="49">
        <v>4.2</v>
      </c>
      <c r="E61" s="39" t="s">
        <v>419</v>
      </c>
    </row>
    <row r="62" spans="1:5" x14ac:dyDescent="0.25">
      <c r="A62" s="339" t="s">
        <v>662</v>
      </c>
      <c r="B62" s="23" t="s">
        <v>663</v>
      </c>
      <c r="C62" s="336" t="s">
        <v>649</v>
      </c>
      <c r="D62" s="2">
        <v>3.98</v>
      </c>
      <c r="E62" s="41" t="s">
        <v>419</v>
      </c>
    </row>
    <row r="63" spans="1:5" x14ac:dyDescent="0.25">
      <c r="A63" s="339" t="s">
        <v>662</v>
      </c>
      <c r="B63" s="23" t="s">
        <v>663</v>
      </c>
      <c r="C63" s="336" t="s">
        <v>650</v>
      </c>
      <c r="D63" s="2">
        <v>3.58</v>
      </c>
      <c r="E63" s="41" t="s">
        <v>419</v>
      </c>
    </row>
    <row r="64" spans="1:5" x14ac:dyDescent="0.25">
      <c r="A64" s="339" t="s">
        <v>662</v>
      </c>
      <c r="B64" s="23" t="s">
        <v>663</v>
      </c>
      <c r="C64" s="336" t="s">
        <v>651</v>
      </c>
      <c r="D64" s="2">
        <v>3.53</v>
      </c>
      <c r="E64" s="41" t="s">
        <v>419</v>
      </c>
    </row>
    <row r="65" spans="1:8" x14ac:dyDescent="0.25">
      <c r="A65" s="339" t="s">
        <v>662</v>
      </c>
      <c r="B65" s="23" t="s">
        <v>663</v>
      </c>
      <c r="C65" s="336" t="s">
        <v>652</v>
      </c>
      <c r="D65" s="2">
        <v>3.43</v>
      </c>
      <c r="E65" s="41" t="s">
        <v>419</v>
      </c>
    </row>
    <row r="66" spans="1:8" x14ac:dyDescent="0.25">
      <c r="A66" s="339" t="s">
        <v>662</v>
      </c>
      <c r="B66" s="23" t="s">
        <v>663</v>
      </c>
      <c r="C66" s="336" t="s">
        <v>653</v>
      </c>
      <c r="D66" s="2">
        <v>3.15</v>
      </c>
      <c r="E66" s="41" t="s">
        <v>419</v>
      </c>
    </row>
    <row r="67" spans="1:8" x14ac:dyDescent="0.25">
      <c r="A67" s="339" t="s">
        <v>662</v>
      </c>
      <c r="B67" s="23" t="s">
        <v>663</v>
      </c>
      <c r="C67" s="336" t="s">
        <v>654</v>
      </c>
      <c r="D67" s="2">
        <v>3.04</v>
      </c>
      <c r="E67" s="41" t="s">
        <v>419</v>
      </c>
    </row>
    <row r="68" spans="1:8" x14ac:dyDescent="0.25">
      <c r="A68" s="339" t="s">
        <v>662</v>
      </c>
      <c r="B68" s="23" t="s">
        <v>663</v>
      </c>
      <c r="C68" s="336" t="s">
        <v>655</v>
      </c>
      <c r="D68" s="2">
        <v>3.04</v>
      </c>
      <c r="E68" s="41" t="s">
        <v>419</v>
      </c>
    </row>
    <row r="69" spans="1:8" x14ac:dyDescent="0.25">
      <c r="A69" s="339" t="s">
        <v>662</v>
      </c>
      <c r="B69" s="23" t="s">
        <v>663</v>
      </c>
      <c r="C69" s="336" t="s">
        <v>656</v>
      </c>
      <c r="D69" s="2">
        <v>2.98</v>
      </c>
      <c r="E69" s="41" t="s">
        <v>419</v>
      </c>
    </row>
    <row r="70" spans="1:8" x14ac:dyDescent="0.25">
      <c r="A70" s="339" t="s">
        <v>662</v>
      </c>
      <c r="B70" s="23" t="s">
        <v>663</v>
      </c>
      <c r="C70" s="336" t="s">
        <v>657</v>
      </c>
      <c r="D70" s="2">
        <v>2.98</v>
      </c>
      <c r="E70" s="41" t="s">
        <v>419</v>
      </c>
    </row>
    <row r="71" spans="1:8" x14ac:dyDescent="0.25">
      <c r="A71" s="339" t="s">
        <v>662</v>
      </c>
      <c r="B71" s="23" t="s">
        <v>663</v>
      </c>
      <c r="C71" s="336" t="s">
        <v>658</v>
      </c>
      <c r="D71" s="2">
        <v>2.72</v>
      </c>
      <c r="E71" s="41" t="s">
        <v>419</v>
      </c>
    </row>
    <row r="72" spans="1:8" x14ac:dyDescent="0.25">
      <c r="A72" s="339" t="s">
        <v>662</v>
      </c>
      <c r="B72" s="23" t="s">
        <v>663</v>
      </c>
      <c r="C72" s="336" t="s">
        <v>659</v>
      </c>
      <c r="D72" s="2">
        <v>2.31</v>
      </c>
      <c r="E72" s="66" t="s">
        <v>420</v>
      </c>
    </row>
    <row r="73" spans="1:8" x14ac:dyDescent="0.25">
      <c r="A73" s="339" t="s">
        <v>662</v>
      </c>
      <c r="B73" s="23" t="s">
        <v>663</v>
      </c>
      <c r="C73" s="336" t="s">
        <v>660</v>
      </c>
      <c r="D73" s="2">
        <v>2.2599999999999998</v>
      </c>
      <c r="E73" s="66" t="s">
        <v>420</v>
      </c>
    </row>
    <row r="74" spans="1:8" ht="15.75" thickBot="1" x14ac:dyDescent="0.3">
      <c r="A74" s="492" t="s">
        <v>662</v>
      </c>
      <c r="B74" s="493" t="s">
        <v>663</v>
      </c>
      <c r="C74" s="494" t="s">
        <v>661</v>
      </c>
      <c r="D74" s="179">
        <v>1.91</v>
      </c>
      <c r="E74" s="119" t="s">
        <v>420</v>
      </c>
    </row>
    <row r="75" spans="1:8" x14ac:dyDescent="0.25">
      <c r="A75" s="368" t="s">
        <v>876</v>
      </c>
      <c r="B75" s="363" t="s">
        <v>37</v>
      </c>
      <c r="C75" s="48" t="str">
        <f>"619217592405"</f>
        <v>619217592405</v>
      </c>
      <c r="D75" s="49">
        <v>2.5099999999999998</v>
      </c>
      <c r="E75" s="39" t="s">
        <v>419</v>
      </c>
      <c r="F75" s="6"/>
      <c r="G75" s="6"/>
    </row>
    <row r="76" spans="1:8" x14ac:dyDescent="0.25">
      <c r="A76" s="50" t="s">
        <v>876</v>
      </c>
      <c r="B76" s="343" t="s">
        <v>37</v>
      </c>
      <c r="C76" s="5" t="str">
        <f>"619217592403"</f>
        <v>619217592403</v>
      </c>
      <c r="D76" s="2">
        <v>2.59</v>
      </c>
      <c r="E76" s="41" t="s">
        <v>419</v>
      </c>
      <c r="F76" s="6"/>
      <c r="G76" s="6"/>
      <c r="H76" s="519"/>
    </row>
    <row r="77" spans="1:8" x14ac:dyDescent="0.25">
      <c r="A77" s="50" t="s">
        <v>876</v>
      </c>
      <c r="B77" s="343" t="s">
        <v>37</v>
      </c>
      <c r="C77" s="5" t="str">
        <f>"619217592402"</f>
        <v>619217592402</v>
      </c>
      <c r="D77" s="2">
        <v>2.76</v>
      </c>
      <c r="E77" s="41" t="s">
        <v>419</v>
      </c>
      <c r="F77" s="6"/>
      <c r="G77" s="6"/>
    </row>
    <row r="78" spans="1:8" x14ac:dyDescent="0.25">
      <c r="A78" s="50" t="s">
        <v>876</v>
      </c>
      <c r="B78" s="343" t="s">
        <v>37</v>
      </c>
      <c r="C78" s="5" t="str">
        <f>"619217592401"</f>
        <v>619217592401</v>
      </c>
      <c r="D78" s="2">
        <v>2.98</v>
      </c>
      <c r="E78" s="41" t="s">
        <v>419</v>
      </c>
      <c r="F78" s="6"/>
      <c r="G78" s="6"/>
    </row>
    <row r="79" spans="1:8" x14ac:dyDescent="0.25">
      <c r="A79" s="50" t="s">
        <v>876</v>
      </c>
      <c r="B79" s="343" t="s">
        <v>37</v>
      </c>
      <c r="C79" s="5" t="str">
        <f>"619217592400"</f>
        <v>619217592400</v>
      </c>
      <c r="D79" s="2">
        <v>2.83</v>
      </c>
      <c r="E79" s="41" t="s">
        <v>419</v>
      </c>
      <c r="F79" s="6"/>
      <c r="G79" s="6"/>
    </row>
    <row r="80" spans="1:8" x14ac:dyDescent="0.25">
      <c r="A80" s="50" t="s">
        <v>876</v>
      </c>
      <c r="B80" s="343" t="s">
        <v>37</v>
      </c>
      <c r="C80" s="5" t="str">
        <f>"619217592399"</f>
        <v>619217592399</v>
      </c>
      <c r="D80" s="2">
        <v>3.12</v>
      </c>
      <c r="E80" s="41" t="s">
        <v>419</v>
      </c>
      <c r="F80" s="6"/>
      <c r="G80" s="6"/>
    </row>
    <row r="81" spans="1:7" x14ac:dyDescent="0.25">
      <c r="A81" s="50" t="s">
        <v>876</v>
      </c>
      <c r="B81" s="343" t="s">
        <v>37</v>
      </c>
      <c r="C81" s="5" t="str">
        <f>"619217592398"</f>
        <v>619217592398</v>
      </c>
      <c r="D81" s="2">
        <v>3.16</v>
      </c>
      <c r="E81" s="41" t="s">
        <v>419</v>
      </c>
      <c r="F81" s="6"/>
      <c r="G81" s="6"/>
    </row>
    <row r="82" spans="1:7" x14ac:dyDescent="0.25">
      <c r="A82" s="50" t="s">
        <v>876</v>
      </c>
      <c r="B82" s="343" t="s">
        <v>37</v>
      </c>
      <c r="C82" s="5" t="str">
        <f>"619217592397"</f>
        <v>619217592397</v>
      </c>
      <c r="D82" s="2">
        <v>3.23</v>
      </c>
      <c r="E82" s="41" t="s">
        <v>419</v>
      </c>
      <c r="F82" s="6"/>
      <c r="G82" s="6"/>
    </row>
    <row r="83" spans="1:7" x14ac:dyDescent="0.25">
      <c r="A83" s="50" t="s">
        <v>876</v>
      </c>
      <c r="B83" s="343" t="s">
        <v>37</v>
      </c>
      <c r="C83" s="5" t="str">
        <f>"619217592396"</f>
        <v>619217592396</v>
      </c>
      <c r="D83" s="2">
        <v>3.81</v>
      </c>
      <c r="E83" s="41" t="s">
        <v>419</v>
      </c>
      <c r="F83" s="6"/>
      <c r="G83" s="6"/>
    </row>
    <row r="84" spans="1:7" x14ac:dyDescent="0.25">
      <c r="A84" s="50" t="s">
        <v>876</v>
      </c>
      <c r="B84" s="343" t="s">
        <v>37</v>
      </c>
      <c r="C84" s="5" t="str">
        <f>"619217592395"</f>
        <v>619217592395</v>
      </c>
      <c r="D84" s="2">
        <v>3.45</v>
      </c>
      <c r="E84" s="41" t="s">
        <v>419</v>
      </c>
      <c r="F84" s="6"/>
      <c r="G84" s="6"/>
    </row>
    <row r="85" spans="1:7" x14ac:dyDescent="0.25">
      <c r="A85" s="50" t="s">
        <v>876</v>
      </c>
      <c r="B85" s="343" t="s">
        <v>37</v>
      </c>
      <c r="C85" s="5" t="str">
        <f>"619217592394"</f>
        <v>619217592394</v>
      </c>
      <c r="D85" s="2">
        <v>3.61</v>
      </c>
      <c r="E85" s="41" t="s">
        <v>419</v>
      </c>
      <c r="F85" s="6"/>
      <c r="G85" s="6"/>
    </row>
    <row r="86" spans="1:7" x14ac:dyDescent="0.25">
      <c r="A86" s="50" t="s">
        <v>876</v>
      </c>
      <c r="B86" s="343" t="s">
        <v>37</v>
      </c>
      <c r="C86" s="5" t="str">
        <f>"619217592393"</f>
        <v>619217592393</v>
      </c>
      <c r="D86" s="2">
        <v>3.83</v>
      </c>
      <c r="E86" s="41" t="s">
        <v>419</v>
      </c>
      <c r="F86" s="6"/>
      <c r="G86" s="6"/>
    </row>
    <row r="87" spans="1:7" x14ac:dyDescent="0.25">
      <c r="A87" s="50" t="s">
        <v>876</v>
      </c>
      <c r="B87" s="343" t="s">
        <v>37</v>
      </c>
      <c r="C87" s="5" t="str">
        <f>"619217592392"</f>
        <v>619217592392</v>
      </c>
      <c r="D87" s="2">
        <v>3.18</v>
      </c>
      <c r="E87" s="41" t="s">
        <v>419</v>
      </c>
      <c r="F87" s="6"/>
      <c r="G87" s="6"/>
    </row>
    <row r="88" spans="1:7" x14ac:dyDescent="0.25">
      <c r="A88" s="50" t="s">
        <v>876</v>
      </c>
      <c r="B88" s="343" t="s">
        <v>37</v>
      </c>
      <c r="C88" s="5" t="str">
        <f>"619217592391"</f>
        <v>619217592391</v>
      </c>
      <c r="D88" s="2">
        <v>4.0999999999999996</v>
      </c>
      <c r="E88" s="41" t="s">
        <v>419</v>
      </c>
      <c r="F88" s="6"/>
      <c r="G88" s="6"/>
    </row>
    <row r="89" spans="1:7" x14ac:dyDescent="0.25">
      <c r="A89" s="50" t="s">
        <v>876</v>
      </c>
      <c r="B89" s="343" t="s">
        <v>37</v>
      </c>
      <c r="C89" s="5" t="str">
        <f>"619217592390"</f>
        <v>619217592390</v>
      </c>
      <c r="D89" s="2">
        <v>3.32</v>
      </c>
      <c r="E89" s="41" t="s">
        <v>419</v>
      </c>
      <c r="F89" s="6"/>
      <c r="G89" s="6"/>
    </row>
    <row r="90" spans="1:7" x14ac:dyDescent="0.25">
      <c r="A90" s="50" t="s">
        <v>876</v>
      </c>
      <c r="B90" s="343" t="s">
        <v>37</v>
      </c>
      <c r="C90" s="5" t="str">
        <f>"619217592389"</f>
        <v>619217592389</v>
      </c>
      <c r="D90" s="2">
        <v>3.3</v>
      </c>
      <c r="E90" s="41" t="s">
        <v>419</v>
      </c>
      <c r="F90" s="6"/>
      <c r="G90" s="6"/>
    </row>
    <row r="91" spans="1:7" x14ac:dyDescent="0.25">
      <c r="A91" s="50" t="s">
        <v>876</v>
      </c>
      <c r="B91" s="343" t="s">
        <v>37</v>
      </c>
      <c r="C91" s="5" t="str">
        <f>"619217592388"</f>
        <v>619217592388</v>
      </c>
      <c r="D91" s="2">
        <v>2.85</v>
      </c>
      <c r="E91" s="41" t="s">
        <v>419</v>
      </c>
      <c r="F91" s="6"/>
      <c r="G91" s="6"/>
    </row>
    <row r="92" spans="1:7" x14ac:dyDescent="0.25">
      <c r="A92" s="50" t="s">
        <v>876</v>
      </c>
      <c r="B92" s="343" t="s">
        <v>37</v>
      </c>
      <c r="C92" s="5" t="str">
        <f>"619217592385"</f>
        <v>619217592385</v>
      </c>
      <c r="D92" s="2">
        <v>3.81</v>
      </c>
      <c r="E92" s="41" t="s">
        <v>419</v>
      </c>
      <c r="F92" s="6"/>
      <c r="G92" s="6"/>
    </row>
    <row r="93" spans="1:7" x14ac:dyDescent="0.25">
      <c r="A93" s="370" t="s">
        <v>876</v>
      </c>
      <c r="B93" s="5" t="s">
        <v>878</v>
      </c>
      <c r="C93" s="5" t="str">
        <f>"619217592410"</f>
        <v>619217592410</v>
      </c>
      <c r="D93" s="2">
        <v>2.0499999999999998</v>
      </c>
      <c r="E93" s="66" t="s">
        <v>420</v>
      </c>
      <c r="F93" s="6"/>
      <c r="G93" s="6"/>
    </row>
    <row r="94" spans="1:7" x14ac:dyDescent="0.25">
      <c r="A94" s="370" t="s">
        <v>876</v>
      </c>
      <c r="B94" s="5" t="s">
        <v>878</v>
      </c>
      <c r="C94" s="5" t="str">
        <f>"619217592408"</f>
        <v>619217592408</v>
      </c>
      <c r="D94" s="2">
        <v>2.2999999999999998</v>
      </c>
      <c r="E94" s="66" t="s">
        <v>420</v>
      </c>
      <c r="F94" s="6"/>
      <c r="G94" s="6"/>
    </row>
    <row r="95" spans="1:7" ht="15.75" thickBot="1" x14ac:dyDescent="0.3">
      <c r="A95" s="495" t="s">
        <v>876</v>
      </c>
      <c r="B95" s="44" t="s">
        <v>878</v>
      </c>
      <c r="C95" s="44" t="str">
        <f>"619217592407"</f>
        <v>619217592407</v>
      </c>
      <c r="D95" s="51">
        <v>2.46</v>
      </c>
      <c r="E95" s="46" t="s">
        <v>420</v>
      </c>
      <c r="F95" s="6"/>
      <c r="G95" s="6"/>
    </row>
    <row r="96" spans="1:7" ht="15.75" thickBot="1" x14ac:dyDescent="0.3">
      <c r="A96" s="533" t="s">
        <v>876</v>
      </c>
      <c r="B96" s="534" t="s">
        <v>877</v>
      </c>
      <c r="C96" s="535" t="str">
        <f>"619217592374"</f>
        <v>619217592374</v>
      </c>
      <c r="D96" s="536">
        <v>4.3899999999999997</v>
      </c>
      <c r="E96" s="333" t="s">
        <v>419</v>
      </c>
      <c r="F96" s="6"/>
      <c r="G96" s="6"/>
    </row>
    <row r="97" spans="1:5" x14ac:dyDescent="0.25">
      <c r="A97" s="368" t="s">
        <v>1054</v>
      </c>
      <c r="B97" s="37" t="s">
        <v>418</v>
      </c>
      <c r="C97" s="48" t="str">
        <f>"619217592946"</f>
        <v>619217592946</v>
      </c>
      <c r="D97" s="49">
        <v>4.1719999999999997</v>
      </c>
      <c r="E97" s="39" t="s">
        <v>419</v>
      </c>
    </row>
    <row r="98" spans="1:5" x14ac:dyDescent="0.25">
      <c r="A98" s="370" t="s">
        <v>1054</v>
      </c>
      <c r="B98" s="14" t="s">
        <v>418</v>
      </c>
      <c r="C98" s="5" t="str">
        <f>"619217592947"</f>
        <v>619217592947</v>
      </c>
      <c r="D98" s="2">
        <v>3.8220000000000001</v>
      </c>
      <c r="E98" s="41" t="s">
        <v>419</v>
      </c>
    </row>
    <row r="99" spans="1:5" x14ac:dyDescent="0.25">
      <c r="A99" s="370" t="s">
        <v>1054</v>
      </c>
      <c r="B99" s="14" t="s">
        <v>418</v>
      </c>
      <c r="C99" s="5" t="str">
        <f>"619217592948"</f>
        <v>619217592948</v>
      </c>
      <c r="D99" s="2">
        <v>3.8170000000000002</v>
      </c>
      <c r="E99" s="41" t="s">
        <v>419</v>
      </c>
    </row>
    <row r="100" spans="1:5" x14ac:dyDescent="0.25">
      <c r="A100" s="370" t="s">
        <v>1054</v>
      </c>
      <c r="B100" s="14" t="s">
        <v>418</v>
      </c>
      <c r="C100" s="5" t="str">
        <f>"619217592949"</f>
        <v>619217592949</v>
      </c>
      <c r="D100" s="2">
        <v>3.778</v>
      </c>
      <c r="E100" s="41" t="s">
        <v>419</v>
      </c>
    </row>
    <row r="101" spans="1:5" x14ac:dyDescent="0.25">
      <c r="A101" s="370" t="s">
        <v>1054</v>
      </c>
      <c r="B101" s="14" t="s">
        <v>418</v>
      </c>
      <c r="C101" s="5" t="str">
        <f>"619217592950"</f>
        <v>619217592950</v>
      </c>
      <c r="D101" s="2">
        <v>3.7</v>
      </c>
      <c r="E101" s="41" t="s">
        <v>419</v>
      </c>
    </row>
    <row r="102" spans="1:5" x14ac:dyDescent="0.25">
      <c r="A102" s="370" t="s">
        <v>1054</v>
      </c>
      <c r="B102" s="14" t="s">
        <v>418</v>
      </c>
      <c r="C102" s="5" t="str">
        <f>"619217592951"</f>
        <v>619217592951</v>
      </c>
      <c r="D102" s="2">
        <v>3.6560000000000001</v>
      </c>
      <c r="E102" s="41" t="s">
        <v>419</v>
      </c>
    </row>
    <row r="103" spans="1:5" x14ac:dyDescent="0.25">
      <c r="A103" s="370" t="s">
        <v>1054</v>
      </c>
      <c r="B103" s="14" t="s">
        <v>418</v>
      </c>
      <c r="C103" s="5" t="str">
        <f>"619217592952"</f>
        <v>619217592952</v>
      </c>
      <c r="D103" s="2">
        <v>3.1280000000000001</v>
      </c>
      <c r="E103" s="41" t="s">
        <v>419</v>
      </c>
    </row>
    <row r="104" spans="1:5" x14ac:dyDescent="0.25">
      <c r="A104" s="370" t="s">
        <v>1054</v>
      </c>
      <c r="B104" s="14" t="s">
        <v>418</v>
      </c>
      <c r="C104" s="5" t="str">
        <f>"619217592953"</f>
        <v>619217592953</v>
      </c>
      <c r="D104" s="2">
        <v>3.05</v>
      </c>
      <c r="E104" s="41" t="s">
        <v>419</v>
      </c>
    </row>
    <row r="105" spans="1:5" x14ac:dyDescent="0.25">
      <c r="A105" s="370" t="s">
        <v>1054</v>
      </c>
      <c r="B105" s="14" t="s">
        <v>418</v>
      </c>
      <c r="C105" s="5" t="str">
        <f>"619217592954"</f>
        <v>619217592954</v>
      </c>
      <c r="D105" s="2">
        <v>3.0329999999999999</v>
      </c>
      <c r="E105" s="41" t="s">
        <v>419</v>
      </c>
    </row>
    <row r="106" spans="1:5" x14ac:dyDescent="0.25">
      <c r="A106" s="370" t="s">
        <v>1054</v>
      </c>
      <c r="B106" s="14" t="s">
        <v>418</v>
      </c>
      <c r="C106" s="5" t="str">
        <f>"619217592955"</f>
        <v>619217592955</v>
      </c>
      <c r="D106" s="2">
        <v>2.9889999999999999</v>
      </c>
      <c r="E106" s="41" t="s">
        <v>419</v>
      </c>
    </row>
    <row r="107" spans="1:5" x14ac:dyDescent="0.25">
      <c r="A107" s="370" t="s">
        <v>1054</v>
      </c>
      <c r="B107" s="14" t="s">
        <v>418</v>
      </c>
      <c r="C107" s="5" t="str">
        <f>"619217592956"</f>
        <v>619217592956</v>
      </c>
      <c r="D107" s="2">
        <v>2.9830000000000001</v>
      </c>
      <c r="E107" s="41" t="s">
        <v>419</v>
      </c>
    </row>
    <row r="108" spans="1:5" x14ac:dyDescent="0.25">
      <c r="A108" s="370" t="s">
        <v>1054</v>
      </c>
      <c r="B108" s="14" t="s">
        <v>418</v>
      </c>
      <c r="C108" s="5" t="str">
        <f>"619217592957"</f>
        <v>619217592957</v>
      </c>
      <c r="D108" s="2">
        <v>2.9329999999999998</v>
      </c>
      <c r="E108" s="41" t="s">
        <v>419</v>
      </c>
    </row>
    <row r="109" spans="1:5" x14ac:dyDescent="0.25">
      <c r="A109" s="370" t="s">
        <v>1054</v>
      </c>
      <c r="B109" s="14" t="s">
        <v>418</v>
      </c>
      <c r="C109" s="5" t="str">
        <f>"619217592958"</f>
        <v>619217592958</v>
      </c>
      <c r="D109" s="2">
        <v>2.911</v>
      </c>
      <c r="E109" s="41" t="s">
        <v>419</v>
      </c>
    </row>
    <row r="110" spans="1:5" ht="15.75" thickBot="1" x14ac:dyDescent="0.3">
      <c r="A110" s="372" t="s">
        <v>1054</v>
      </c>
      <c r="B110" s="360" t="s">
        <v>418</v>
      </c>
      <c r="C110" s="106" t="str">
        <f>"619217592945"</f>
        <v>619217592945</v>
      </c>
      <c r="D110" s="179" t="s">
        <v>967</v>
      </c>
      <c r="E110" s="46"/>
    </row>
    <row r="111" spans="1:5" x14ac:dyDescent="0.25">
      <c r="A111" s="297" t="s">
        <v>1115</v>
      </c>
      <c r="B111" s="343" t="s">
        <v>37</v>
      </c>
      <c r="C111" s="2">
        <v>19201800191</v>
      </c>
      <c r="D111" s="2">
        <v>4.2</v>
      </c>
      <c r="E111" s="41" t="s">
        <v>419</v>
      </c>
    </row>
    <row r="112" spans="1:5" x14ac:dyDescent="0.25">
      <c r="A112" s="297" t="s">
        <v>1116</v>
      </c>
      <c r="B112" s="343" t="s">
        <v>37</v>
      </c>
      <c r="C112" s="2">
        <v>19201800198</v>
      </c>
      <c r="D112" s="2">
        <v>4.1100000000000003</v>
      </c>
      <c r="E112" s="41" t="s">
        <v>419</v>
      </c>
    </row>
    <row r="113" spans="1:5" x14ac:dyDescent="0.25">
      <c r="A113" s="297" t="s">
        <v>1115</v>
      </c>
      <c r="B113" s="343" t="s">
        <v>37</v>
      </c>
      <c r="C113" s="2">
        <v>19201800229</v>
      </c>
      <c r="D113" s="2">
        <v>3.84</v>
      </c>
      <c r="E113" s="41" t="s">
        <v>419</v>
      </c>
    </row>
    <row r="114" spans="1:5" x14ac:dyDescent="0.25">
      <c r="A114" s="297" t="s">
        <v>1116</v>
      </c>
      <c r="B114" s="343" t="s">
        <v>37</v>
      </c>
      <c r="C114" s="2">
        <v>19201800208</v>
      </c>
      <c r="D114" s="2">
        <v>3.77</v>
      </c>
      <c r="E114" s="41" t="s">
        <v>419</v>
      </c>
    </row>
    <row r="115" spans="1:5" x14ac:dyDescent="0.25">
      <c r="A115" s="297" t="s">
        <v>1115</v>
      </c>
      <c r="B115" s="343" t="s">
        <v>37</v>
      </c>
      <c r="C115" s="2">
        <v>19201800224</v>
      </c>
      <c r="D115" s="2">
        <v>3.76</v>
      </c>
      <c r="E115" s="41" t="s">
        <v>419</v>
      </c>
    </row>
    <row r="116" spans="1:5" x14ac:dyDescent="0.25">
      <c r="A116" s="297" t="s">
        <v>1116</v>
      </c>
      <c r="B116" s="343" t="s">
        <v>37</v>
      </c>
      <c r="C116" s="2">
        <v>19201800209</v>
      </c>
      <c r="D116" s="2">
        <v>3.66</v>
      </c>
      <c r="E116" s="41" t="s">
        <v>419</v>
      </c>
    </row>
    <row r="117" spans="1:5" x14ac:dyDescent="0.25">
      <c r="A117" s="297" t="s">
        <v>1115</v>
      </c>
      <c r="B117" s="343" t="s">
        <v>37</v>
      </c>
      <c r="C117" s="2">
        <v>19201800231</v>
      </c>
      <c r="D117" s="2">
        <v>3.64</v>
      </c>
      <c r="E117" s="41" t="s">
        <v>419</v>
      </c>
    </row>
    <row r="118" spans="1:5" x14ac:dyDescent="0.25">
      <c r="A118" s="297" t="s">
        <v>1116</v>
      </c>
      <c r="B118" s="343" t="s">
        <v>37</v>
      </c>
      <c r="C118" s="2">
        <v>19201800203</v>
      </c>
      <c r="D118" s="2">
        <v>3.6</v>
      </c>
      <c r="E118" s="41" t="s">
        <v>419</v>
      </c>
    </row>
    <row r="119" spans="1:5" x14ac:dyDescent="0.25">
      <c r="A119" s="297" t="s">
        <v>1115</v>
      </c>
      <c r="B119" s="343" t="s">
        <v>37</v>
      </c>
      <c r="C119" s="2">
        <v>19201800210</v>
      </c>
      <c r="D119" s="2">
        <v>3.51</v>
      </c>
      <c r="E119" s="41" t="s">
        <v>419</v>
      </c>
    </row>
    <row r="120" spans="1:5" x14ac:dyDescent="0.25">
      <c r="A120" s="297" t="s">
        <v>1116</v>
      </c>
      <c r="B120" s="343" t="s">
        <v>37</v>
      </c>
      <c r="C120" s="2">
        <v>19201800220</v>
      </c>
      <c r="D120" s="2">
        <v>3.49</v>
      </c>
      <c r="E120" s="41" t="s">
        <v>419</v>
      </c>
    </row>
    <row r="121" spans="1:5" x14ac:dyDescent="0.25">
      <c r="A121" s="297" t="s">
        <v>1115</v>
      </c>
      <c r="B121" s="343" t="s">
        <v>37</v>
      </c>
      <c r="C121" s="2">
        <v>19201800199</v>
      </c>
      <c r="D121" s="2">
        <v>3.41</v>
      </c>
      <c r="E121" s="41" t="s">
        <v>419</v>
      </c>
    </row>
    <row r="122" spans="1:5" x14ac:dyDescent="0.25">
      <c r="A122" s="297" t="s">
        <v>1116</v>
      </c>
      <c r="B122" s="343" t="s">
        <v>37</v>
      </c>
      <c r="C122" s="2">
        <v>19201800213</v>
      </c>
      <c r="D122" s="2">
        <v>3.37</v>
      </c>
      <c r="E122" s="41" t="s">
        <v>419</v>
      </c>
    </row>
    <row r="123" spans="1:5" x14ac:dyDescent="0.25">
      <c r="A123" s="297" t="s">
        <v>1115</v>
      </c>
      <c r="B123" s="343" t="s">
        <v>37</v>
      </c>
      <c r="C123" s="2">
        <v>19201800232</v>
      </c>
      <c r="D123" s="2">
        <v>3.34</v>
      </c>
      <c r="E123" s="41" t="s">
        <v>419</v>
      </c>
    </row>
    <row r="124" spans="1:5" x14ac:dyDescent="0.25">
      <c r="A124" s="297" t="s">
        <v>1116</v>
      </c>
      <c r="B124" s="343" t="s">
        <v>37</v>
      </c>
      <c r="C124" s="2">
        <v>19201800195</v>
      </c>
      <c r="D124" s="2">
        <v>3.32</v>
      </c>
      <c r="E124" s="41" t="s">
        <v>419</v>
      </c>
    </row>
    <row r="125" spans="1:5" x14ac:dyDescent="0.25">
      <c r="A125" s="297" t="s">
        <v>1115</v>
      </c>
      <c r="B125" s="343" t="s">
        <v>37</v>
      </c>
      <c r="C125" s="2">
        <v>19201800197</v>
      </c>
      <c r="D125" s="2">
        <v>3.3</v>
      </c>
      <c r="E125" s="41" t="s">
        <v>419</v>
      </c>
    </row>
    <row r="126" spans="1:5" x14ac:dyDescent="0.25">
      <c r="A126" s="297" t="s">
        <v>1116</v>
      </c>
      <c r="B126" s="343" t="s">
        <v>37</v>
      </c>
      <c r="C126" s="2">
        <v>19201800228</v>
      </c>
      <c r="D126" s="2">
        <v>3.29</v>
      </c>
      <c r="E126" s="41" t="s">
        <v>419</v>
      </c>
    </row>
    <row r="127" spans="1:5" x14ac:dyDescent="0.25">
      <c r="A127" s="297" t="s">
        <v>1115</v>
      </c>
      <c r="B127" s="343" t="s">
        <v>37</v>
      </c>
      <c r="C127" s="2">
        <v>19201800207</v>
      </c>
      <c r="D127" s="2">
        <v>3.26</v>
      </c>
      <c r="E127" s="66" t="s">
        <v>420</v>
      </c>
    </row>
    <row r="128" spans="1:5" x14ac:dyDescent="0.25">
      <c r="A128" s="297" t="s">
        <v>1116</v>
      </c>
      <c r="B128" s="343" t="s">
        <v>37</v>
      </c>
      <c r="C128" s="2">
        <v>19201800227</v>
      </c>
      <c r="D128" s="2">
        <v>3.17</v>
      </c>
      <c r="E128" s="41" t="s">
        <v>419</v>
      </c>
    </row>
    <row r="129" spans="1:5" x14ac:dyDescent="0.25">
      <c r="A129" s="297" t="s">
        <v>1116</v>
      </c>
      <c r="B129" s="343" t="s">
        <v>37</v>
      </c>
      <c r="C129" s="2">
        <v>19201800236</v>
      </c>
      <c r="D129" s="2">
        <v>3</v>
      </c>
      <c r="E129" s="66" t="s">
        <v>420</v>
      </c>
    </row>
    <row r="130" spans="1:5" x14ac:dyDescent="0.25">
      <c r="A130" s="297" t="s">
        <v>1116</v>
      </c>
      <c r="B130" s="343" t="s">
        <v>37</v>
      </c>
      <c r="C130" s="2">
        <v>19201800211</v>
      </c>
      <c r="D130" s="2">
        <v>2.95</v>
      </c>
      <c r="E130" s="66" t="s">
        <v>420</v>
      </c>
    </row>
    <row r="131" spans="1:5" x14ac:dyDescent="0.25">
      <c r="A131" s="297" t="s">
        <v>1115</v>
      </c>
      <c r="B131" s="343" t="s">
        <v>37</v>
      </c>
      <c r="C131" s="2">
        <v>19201800221</v>
      </c>
      <c r="D131" s="2">
        <v>2.94</v>
      </c>
      <c r="E131" s="66" t="s">
        <v>420</v>
      </c>
    </row>
    <row r="132" spans="1:5" x14ac:dyDescent="0.25">
      <c r="A132" s="297" t="s">
        <v>1116</v>
      </c>
      <c r="B132" s="343" t="s">
        <v>37</v>
      </c>
      <c r="C132" s="2">
        <v>19201800235</v>
      </c>
      <c r="D132" s="2">
        <v>2.91</v>
      </c>
      <c r="E132" s="66" t="s">
        <v>420</v>
      </c>
    </row>
    <row r="133" spans="1:5" x14ac:dyDescent="0.25">
      <c r="A133" s="297" t="s">
        <v>1115</v>
      </c>
      <c r="B133" s="343" t="s">
        <v>37</v>
      </c>
      <c r="C133" s="2">
        <v>19201800214</v>
      </c>
      <c r="D133" s="2">
        <v>2.77</v>
      </c>
      <c r="E133" s="66" t="s">
        <v>420</v>
      </c>
    </row>
    <row r="134" spans="1:5" x14ac:dyDescent="0.25">
      <c r="A134" s="297" t="s">
        <v>1116</v>
      </c>
      <c r="B134" s="343" t="s">
        <v>37</v>
      </c>
      <c r="C134" s="2">
        <v>19201800233</v>
      </c>
      <c r="D134" s="2">
        <v>2.64</v>
      </c>
      <c r="E134" s="66" t="s">
        <v>420</v>
      </c>
    </row>
    <row r="135" spans="1:5" x14ac:dyDescent="0.25">
      <c r="A135" s="297" t="s">
        <v>1116</v>
      </c>
      <c r="B135" s="343" t="s">
        <v>37</v>
      </c>
      <c r="C135" s="2">
        <v>19201800205</v>
      </c>
      <c r="D135" s="2">
        <v>2.59</v>
      </c>
      <c r="E135" s="66" t="s">
        <v>420</v>
      </c>
    </row>
    <row r="136" spans="1:5" x14ac:dyDescent="0.25">
      <c r="A136" s="297" t="s">
        <v>1116</v>
      </c>
      <c r="B136" s="343" t="s">
        <v>37</v>
      </c>
      <c r="C136" s="2">
        <v>19201800192</v>
      </c>
      <c r="D136" s="2">
        <v>2.58</v>
      </c>
      <c r="E136" s="66" t="s">
        <v>420</v>
      </c>
    </row>
    <row r="137" spans="1:5" x14ac:dyDescent="0.25">
      <c r="A137" s="297" t="s">
        <v>1115</v>
      </c>
      <c r="B137" s="343" t="s">
        <v>37</v>
      </c>
      <c r="C137" s="2">
        <v>19201800196</v>
      </c>
      <c r="D137" s="2">
        <v>2.5</v>
      </c>
      <c r="E137" s="66" t="s">
        <v>420</v>
      </c>
    </row>
    <row r="138" spans="1:5" x14ac:dyDescent="0.25">
      <c r="A138" s="297" t="s">
        <v>1116</v>
      </c>
      <c r="B138" s="343" t="s">
        <v>37</v>
      </c>
      <c r="C138" s="2">
        <v>19201800204</v>
      </c>
      <c r="D138" s="2">
        <v>2.48</v>
      </c>
      <c r="E138" s="66" t="s">
        <v>420</v>
      </c>
    </row>
    <row r="139" spans="1:5" x14ac:dyDescent="0.25">
      <c r="A139" s="297" t="s">
        <v>1115</v>
      </c>
      <c r="B139" s="343" t="s">
        <v>37</v>
      </c>
      <c r="C139" s="2">
        <v>19201800201</v>
      </c>
      <c r="D139" s="2">
        <v>2.13</v>
      </c>
      <c r="E139" s="66" t="s">
        <v>420</v>
      </c>
    </row>
    <row r="140" spans="1:5" x14ac:dyDescent="0.25">
      <c r="A140" s="297" t="s">
        <v>1116</v>
      </c>
      <c r="B140" s="341" t="s">
        <v>877</v>
      </c>
      <c r="C140" s="2">
        <v>19201800234</v>
      </c>
      <c r="D140" s="2">
        <v>3.99</v>
      </c>
      <c r="E140" s="41" t="s">
        <v>419</v>
      </c>
    </row>
    <row r="141" spans="1:5" x14ac:dyDescent="0.25">
      <c r="A141" s="612" t="s">
        <v>1121</v>
      </c>
      <c r="B141" s="2" t="s">
        <v>1122</v>
      </c>
      <c r="C141" s="2">
        <v>19201800731</v>
      </c>
      <c r="D141" s="2">
        <v>4.1900000000000004</v>
      </c>
      <c r="E141" s="41" t="s">
        <v>419</v>
      </c>
    </row>
    <row r="142" spans="1:5" x14ac:dyDescent="0.25">
      <c r="A142" s="612" t="s">
        <v>1123</v>
      </c>
      <c r="B142" s="2" t="s">
        <v>1122</v>
      </c>
      <c r="C142" s="2">
        <v>19201800733</v>
      </c>
      <c r="D142" s="2">
        <v>3.91</v>
      </c>
      <c r="E142" s="41" t="s">
        <v>419</v>
      </c>
    </row>
    <row r="143" spans="1:5" x14ac:dyDescent="0.25">
      <c r="A143" s="612" t="s">
        <v>1124</v>
      </c>
      <c r="B143" s="2" t="s">
        <v>1122</v>
      </c>
      <c r="C143" s="2">
        <v>19201800732</v>
      </c>
      <c r="D143" s="2">
        <v>3.82</v>
      </c>
      <c r="E143" s="41" t="s">
        <v>419</v>
      </c>
    </row>
    <row r="144" spans="1:5" x14ac:dyDescent="0.25">
      <c r="A144" s="612" t="s">
        <v>1125</v>
      </c>
      <c r="B144" s="2" t="s">
        <v>1122</v>
      </c>
      <c r="C144" s="2">
        <v>19201800734</v>
      </c>
      <c r="D144" s="2">
        <v>3.78</v>
      </c>
      <c r="E144" s="41" t="s">
        <v>419</v>
      </c>
    </row>
    <row r="145" spans="1:5" x14ac:dyDescent="0.25">
      <c r="A145" s="612" t="s">
        <v>1126</v>
      </c>
      <c r="B145" s="2" t="s">
        <v>1122</v>
      </c>
      <c r="C145" s="2">
        <v>19201800722</v>
      </c>
      <c r="D145" s="2">
        <v>3.69</v>
      </c>
      <c r="E145" s="41" t="s">
        <v>419</v>
      </c>
    </row>
    <row r="146" spans="1:5" x14ac:dyDescent="0.25">
      <c r="A146" s="612" t="s">
        <v>1127</v>
      </c>
      <c r="B146" s="2" t="s">
        <v>1122</v>
      </c>
      <c r="C146" s="2">
        <v>19201800730</v>
      </c>
      <c r="D146" s="2">
        <v>3.4</v>
      </c>
      <c r="E146" s="41" t="s">
        <v>419</v>
      </c>
    </row>
    <row r="147" spans="1:5" x14ac:dyDescent="0.25">
      <c r="A147" s="612" t="s">
        <v>1128</v>
      </c>
      <c r="B147" s="2" t="s">
        <v>1122</v>
      </c>
      <c r="C147" s="2">
        <v>19201800738</v>
      </c>
      <c r="D147" s="2">
        <v>3.16</v>
      </c>
      <c r="E147" s="41" t="s">
        <v>419</v>
      </c>
    </row>
    <row r="148" spans="1:5" x14ac:dyDescent="0.25">
      <c r="A148" s="612" t="s">
        <v>1129</v>
      </c>
      <c r="B148" s="2" t="s">
        <v>1122</v>
      </c>
      <c r="C148" s="2">
        <v>19201800725</v>
      </c>
      <c r="D148" s="2">
        <v>3.02</v>
      </c>
      <c r="E148" s="41" t="s">
        <v>419</v>
      </c>
    </row>
    <row r="149" spans="1:5" x14ac:dyDescent="0.25">
      <c r="A149" s="523" t="s">
        <v>1160</v>
      </c>
      <c r="B149" s="26" t="s">
        <v>663</v>
      </c>
      <c r="C149" s="2">
        <v>19201801050</v>
      </c>
      <c r="D149" s="2">
        <v>3.75</v>
      </c>
      <c r="E149" s="225" t="s">
        <v>419</v>
      </c>
    </row>
    <row r="150" spans="1:5" x14ac:dyDescent="0.25">
      <c r="A150" s="523" t="s">
        <v>1160</v>
      </c>
      <c r="B150" s="26" t="s">
        <v>663</v>
      </c>
      <c r="C150" s="2">
        <v>19201801060</v>
      </c>
      <c r="D150" s="2">
        <v>3.72</v>
      </c>
      <c r="E150" s="225" t="s">
        <v>419</v>
      </c>
    </row>
    <row r="151" spans="1:5" x14ac:dyDescent="0.25">
      <c r="A151" s="523" t="s">
        <v>1160</v>
      </c>
      <c r="B151" s="26" t="s">
        <v>663</v>
      </c>
      <c r="C151" s="2">
        <v>19201801061</v>
      </c>
      <c r="D151" s="2">
        <v>3.66</v>
      </c>
      <c r="E151" s="225" t="s">
        <v>419</v>
      </c>
    </row>
    <row r="152" spans="1:5" x14ac:dyDescent="0.25">
      <c r="A152" s="523" t="s">
        <v>1160</v>
      </c>
      <c r="B152" s="26" t="s">
        <v>663</v>
      </c>
      <c r="C152" s="2">
        <v>19201801062</v>
      </c>
      <c r="D152" s="2">
        <v>3.55</v>
      </c>
      <c r="E152" s="225" t="s">
        <v>419</v>
      </c>
    </row>
    <row r="153" spans="1:5" x14ac:dyDescent="0.25">
      <c r="A153" s="523" t="s">
        <v>1160</v>
      </c>
      <c r="B153" s="26" t="s">
        <v>663</v>
      </c>
      <c r="C153" s="2">
        <v>19201801052</v>
      </c>
      <c r="D153" s="2">
        <v>3.5</v>
      </c>
      <c r="E153" s="225" t="s">
        <v>419</v>
      </c>
    </row>
    <row r="154" spans="1:5" x14ac:dyDescent="0.25">
      <c r="A154" s="523" t="s">
        <v>1160</v>
      </c>
      <c r="B154" s="26" t="s">
        <v>663</v>
      </c>
      <c r="C154" s="2">
        <v>19201801058</v>
      </c>
      <c r="D154" s="2">
        <v>3.41</v>
      </c>
      <c r="E154" s="225" t="s">
        <v>419</v>
      </c>
    </row>
    <row r="155" spans="1:5" x14ac:dyDescent="0.25">
      <c r="A155" s="523" t="s">
        <v>1160</v>
      </c>
      <c r="B155" s="26" t="s">
        <v>663</v>
      </c>
      <c r="C155" s="2">
        <v>19201801064</v>
      </c>
      <c r="D155" s="2">
        <v>3.36</v>
      </c>
      <c r="E155" s="225" t="s">
        <v>419</v>
      </c>
    </row>
    <row r="156" spans="1:5" x14ac:dyDescent="0.25">
      <c r="A156" s="523" t="s">
        <v>1160</v>
      </c>
      <c r="B156" s="26" t="s">
        <v>663</v>
      </c>
      <c r="C156" s="2">
        <v>19201801056</v>
      </c>
      <c r="D156" s="2">
        <v>3.26</v>
      </c>
      <c r="E156" s="226" t="s">
        <v>420</v>
      </c>
    </row>
    <row r="157" spans="1:5" x14ac:dyDescent="0.25">
      <c r="A157" s="523" t="s">
        <v>1160</v>
      </c>
      <c r="B157" s="26" t="s">
        <v>663</v>
      </c>
      <c r="C157" s="2">
        <v>19201801055</v>
      </c>
      <c r="D157" s="2">
        <v>3.25</v>
      </c>
      <c r="E157" s="226" t="s">
        <v>420</v>
      </c>
    </row>
    <row r="158" spans="1:5" x14ac:dyDescent="0.25">
      <c r="A158" s="523" t="s">
        <v>1160</v>
      </c>
      <c r="B158" s="26" t="s">
        <v>663</v>
      </c>
      <c r="C158" s="2">
        <v>19201801051</v>
      </c>
      <c r="D158" s="2">
        <v>3.1</v>
      </c>
      <c r="E158" s="226" t="s">
        <v>420</v>
      </c>
    </row>
    <row r="159" spans="1:5" x14ac:dyDescent="0.25">
      <c r="A159" s="523" t="s">
        <v>1160</v>
      </c>
      <c r="B159" s="26" t="s">
        <v>663</v>
      </c>
      <c r="C159" s="2">
        <v>19201801063</v>
      </c>
      <c r="D159" s="2">
        <v>2.75</v>
      </c>
      <c r="E159" s="226" t="s">
        <v>420</v>
      </c>
    </row>
    <row r="160" spans="1:5" x14ac:dyDescent="0.25">
      <c r="A160" s="523" t="s">
        <v>1160</v>
      </c>
      <c r="B160" s="26" t="s">
        <v>663</v>
      </c>
      <c r="C160" s="2">
        <v>19201801059</v>
      </c>
      <c r="D160" s="2">
        <v>2.69</v>
      </c>
      <c r="E160" s="226" t="s">
        <v>420</v>
      </c>
    </row>
    <row r="161" spans="1:5" x14ac:dyDescent="0.25">
      <c r="A161" s="523" t="s">
        <v>1160</v>
      </c>
      <c r="B161" s="26" t="s">
        <v>663</v>
      </c>
      <c r="C161" s="2">
        <v>19201801086</v>
      </c>
      <c r="D161" s="2">
        <v>2.54</v>
      </c>
      <c r="E161" s="226" t="s">
        <v>420</v>
      </c>
    </row>
    <row r="162" spans="1:5" x14ac:dyDescent="0.25">
      <c r="A162" s="523" t="s">
        <v>1177</v>
      </c>
      <c r="B162" s="2" t="s">
        <v>1122</v>
      </c>
      <c r="C162" s="2">
        <v>19201900091</v>
      </c>
      <c r="D162" s="2">
        <v>4.4400000000000004</v>
      </c>
      <c r="E162" s="225" t="s">
        <v>419</v>
      </c>
    </row>
    <row r="163" spans="1:5" x14ac:dyDescent="0.25">
      <c r="A163" s="523" t="s">
        <v>1177</v>
      </c>
      <c r="B163" s="2" t="s">
        <v>1122</v>
      </c>
      <c r="C163" s="2">
        <v>19201900098</v>
      </c>
      <c r="D163" s="2">
        <v>4.3899999999999997</v>
      </c>
      <c r="E163" s="225" t="s">
        <v>419</v>
      </c>
    </row>
    <row r="164" spans="1:5" x14ac:dyDescent="0.25">
      <c r="A164" s="523" t="s">
        <v>1177</v>
      </c>
      <c r="B164" s="2" t="s">
        <v>1122</v>
      </c>
      <c r="C164" s="2">
        <v>19201900085</v>
      </c>
      <c r="D164" s="2">
        <v>4.3600000000000003</v>
      </c>
      <c r="E164" s="225" t="s">
        <v>419</v>
      </c>
    </row>
    <row r="165" spans="1:5" x14ac:dyDescent="0.25">
      <c r="A165" s="523" t="s">
        <v>1177</v>
      </c>
      <c r="B165" s="2" t="s">
        <v>1122</v>
      </c>
      <c r="C165" s="2">
        <v>19201900093</v>
      </c>
      <c r="D165" s="2">
        <v>4.32</v>
      </c>
      <c r="E165" s="225" t="s">
        <v>419</v>
      </c>
    </row>
    <row r="166" spans="1:5" x14ac:dyDescent="0.25">
      <c r="A166" s="523" t="s">
        <v>1177</v>
      </c>
      <c r="B166" s="2" t="s">
        <v>1122</v>
      </c>
      <c r="C166" s="2">
        <v>19201900096</v>
      </c>
      <c r="D166" s="2">
        <v>4.24</v>
      </c>
      <c r="E166" s="225" t="s">
        <v>419</v>
      </c>
    </row>
    <row r="167" spans="1:5" x14ac:dyDescent="0.25">
      <c r="A167" s="523" t="s">
        <v>1177</v>
      </c>
      <c r="B167" s="2" t="s">
        <v>1122</v>
      </c>
      <c r="C167" s="2">
        <v>19201900097</v>
      </c>
      <c r="D167" s="2">
        <v>4.16</v>
      </c>
      <c r="E167" s="225" t="s">
        <v>419</v>
      </c>
    </row>
    <row r="168" spans="1:5" x14ac:dyDescent="0.25">
      <c r="A168" s="523" t="s">
        <v>1177</v>
      </c>
      <c r="B168" s="2" t="s">
        <v>1122</v>
      </c>
      <c r="C168" s="2">
        <v>19201900094</v>
      </c>
      <c r="D168" s="2">
        <v>4.09</v>
      </c>
      <c r="E168" s="225" t="s">
        <v>419</v>
      </c>
    </row>
    <row r="169" spans="1:5" x14ac:dyDescent="0.25">
      <c r="A169" s="523" t="s">
        <v>1177</v>
      </c>
      <c r="B169" s="2" t="s">
        <v>1122</v>
      </c>
      <c r="C169" s="2">
        <v>19201900090</v>
      </c>
      <c r="D169" s="2">
        <v>3.98</v>
      </c>
      <c r="E169" s="225" t="s">
        <v>419</v>
      </c>
    </row>
    <row r="170" spans="1:5" x14ac:dyDescent="0.25">
      <c r="A170" s="523" t="s">
        <v>1177</v>
      </c>
      <c r="B170" s="2" t="s">
        <v>1122</v>
      </c>
      <c r="C170" s="2">
        <v>19201900092</v>
      </c>
      <c r="D170" s="2">
        <v>3.96</v>
      </c>
      <c r="E170" s="225" t="s">
        <v>419</v>
      </c>
    </row>
    <row r="171" spans="1:5" x14ac:dyDescent="0.25">
      <c r="A171" s="523" t="s">
        <v>1177</v>
      </c>
      <c r="B171" s="2" t="s">
        <v>1122</v>
      </c>
      <c r="C171" s="2">
        <v>19201900095</v>
      </c>
      <c r="D171" s="2">
        <v>3.86</v>
      </c>
      <c r="E171" s="225" t="s">
        <v>419</v>
      </c>
    </row>
    <row r="172" spans="1:5" ht="15.75" x14ac:dyDescent="0.25">
      <c r="A172" s="657" t="s">
        <v>1185</v>
      </c>
      <c r="B172" s="655" t="s">
        <v>1186</v>
      </c>
      <c r="C172" s="658">
        <v>19201900246</v>
      </c>
      <c r="D172" s="659">
        <v>4.1399999999999997</v>
      </c>
      <c r="E172" s="660" t="s">
        <v>419</v>
      </c>
    </row>
    <row r="173" spans="1:5" ht="15.75" x14ac:dyDescent="0.25">
      <c r="A173" s="657" t="s">
        <v>1185</v>
      </c>
      <c r="B173" s="655" t="s">
        <v>1186</v>
      </c>
      <c r="C173" s="658">
        <v>19201900289</v>
      </c>
      <c r="D173" s="659">
        <v>4.13</v>
      </c>
      <c r="E173" s="660" t="s">
        <v>419</v>
      </c>
    </row>
    <row r="174" spans="1:5" ht="15.75" x14ac:dyDescent="0.25">
      <c r="A174" s="657" t="s">
        <v>1185</v>
      </c>
      <c r="B174" s="655" t="s">
        <v>1186</v>
      </c>
      <c r="C174" s="658">
        <v>19201900284</v>
      </c>
      <c r="D174" s="659">
        <v>4.0199999999999996</v>
      </c>
      <c r="E174" s="660" t="s">
        <v>419</v>
      </c>
    </row>
    <row r="175" spans="1:5" ht="15.75" x14ac:dyDescent="0.25">
      <c r="A175" s="657" t="s">
        <v>1185</v>
      </c>
      <c r="B175" s="655" t="s">
        <v>1186</v>
      </c>
      <c r="C175" s="658">
        <v>19201900355</v>
      </c>
      <c r="D175" s="659">
        <v>4.01</v>
      </c>
      <c r="E175" s="660" t="s">
        <v>419</v>
      </c>
    </row>
    <row r="176" spans="1:5" ht="15.75" x14ac:dyDescent="0.25">
      <c r="A176" s="657" t="s">
        <v>1185</v>
      </c>
      <c r="B176" s="655" t="s">
        <v>1186</v>
      </c>
      <c r="C176" s="658">
        <v>19201900277</v>
      </c>
      <c r="D176" s="659">
        <v>3.86</v>
      </c>
      <c r="E176" s="660" t="s">
        <v>419</v>
      </c>
    </row>
    <row r="177" spans="1:5" ht="15.75" x14ac:dyDescent="0.25">
      <c r="A177" s="657" t="s">
        <v>1185</v>
      </c>
      <c r="B177" s="655" t="s">
        <v>1186</v>
      </c>
      <c r="C177" s="658">
        <v>19201900248</v>
      </c>
      <c r="D177" s="659">
        <v>3.82</v>
      </c>
      <c r="E177" s="660" t="s">
        <v>419</v>
      </c>
    </row>
    <row r="178" spans="1:5" ht="15.75" x14ac:dyDescent="0.25">
      <c r="A178" s="657" t="s">
        <v>1185</v>
      </c>
      <c r="B178" s="655" t="s">
        <v>1186</v>
      </c>
      <c r="C178" s="658">
        <v>19201900249</v>
      </c>
      <c r="D178" s="659">
        <v>3.74</v>
      </c>
      <c r="E178" s="660" t="s">
        <v>419</v>
      </c>
    </row>
    <row r="179" spans="1:5" ht="15.75" x14ac:dyDescent="0.25">
      <c r="A179" s="657" t="s">
        <v>1185</v>
      </c>
      <c r="B179" s="655" t="s">
        <v>1186</v>
      </c>
      <c r="C179" s="658">
        <v>19201900348</v>
      </c>
      <c r="D179" s="659">
        <v>3.71</v>
      </c>
      <c r="E179" s="660" t="s">
        <v>419</v>
      </c>
    </row>
    <row r="180" spans="1:5" ht="15.75" x14ac:dyDescent="0.25">
      <c r="A180" s="657" t="s">
        <v>1185</v>
      </c>
      <c r="B180" s="655" t="s">
        <v>1186</v>
      </c>
      <c r="C180" s="658">
        <v>19201900296</v>
      </c>
      <c r="D180" s="659">
        <v>3.69</v>
      </c>
      <c r="E180" s="660" t="s">
        <v>419</v>
      </c>
    </row>
    <row r="181" spans="1:5" ht="15.75" x14ac:dyDescent="0.25">
      <c r="A181" s="657" t="s">
        <v>1185</v>
      </c>
      <c r="B181" s="655" t="s">
        <v>1186</v>
      </c>
      <c r="C181" s="658">
        <v>19201900332</v>
      </c>
      <c r="D181" s="659">
        <v>3.63</v>
      </c>
      <c r="E181" s="660" t="s">
        <v>419</v>
      </c>
    </row>
    <row r="182" spans="1:5" ht="15.75" x14ac:dyDescent="0.25">
      <c r="A182" s="657" t="s">
        <v>1185</v>
      </c>
      <c r="B182" s="655" t="s">
        <v>1186</v>
      </c>
      <c r="C182" s="658">
        <v>19201900365</v>
      </c>
      <c r="D182" s="659">
        <v>3.61</v>
      </c>
      <c r="E182" s="660" t="s">
        <v>419</v>
      </c>
    </row>
    <row r="183" spans="1:5" ht="15.75" x14ac:dyDescent="0.25">
      <c r="A183" s="657" t="s">
        <v>1185</v>
      </c>
      <c r="B183" s="655" t="s">
        <v>1186</v>
      </c>
      <c r="C183" s="658">
        <v>19201900318</v>
      </c>
      <c r="D183" s="659">
        <v>3.54</v>
      </c>
      <c r="E183" s="660" t="s">
        <v>419</v>
      </c>
    </row>
    <row r="184" spans="1:5" ht="15.75" x14ac:dyDescent="0.25">
      <c r="A184" s="657" t="s">
        <v>1185</v>
      </c>
      <c r="B184" s="655" t="s">
        <v>1186</v>
      </c>
      <c r="C184" s="658">
        <v>19201900356</v>
      </c>
      <c r="D184" s="659">
        <v>3.52</v>
      </c>
      <c r="E184" s="660" t="s">
        <v>419</v>
      </c>
    </row>
    <row r="185" spans="1:5" ht="15.75" x14ac:dyDescent="0.25">
      <c r="A185" s="657" t="s">
        <v>1185</v>
      </c>
      <c r="B185" s="655" t="s">
        <v>1186</v>
      </c>
      <c r="C185" s="658">
        <v>19201900368</v>
      </c>
      <c r="D185" s="659">
        <v>3.46</v>
      </c>
      <c r="E185" s="660" t="s">
        <v>419</v>
      </c>
    </row>
    <row r="186" spans="1:5" ht="15.75" x14ac:dyDescent="0.25">
      <c r="A186" s="657" t="s">
        <v>1185</v>
      </c>
      <c r="B186" s="655" t="s">
        <v>1186</v>
      </c>
      <c r="C186" s="658">
        <v>19201900254</v>
      </c>
      <c r="D186" s="659">
        <v>3.45</v>
      </c>
      <c r="E186" s="660" t="s">
        <v>419</v>
      </c>
    </row>
    <row r="187" spans="1:5" ht="15.75" x14ac:dyDescent="0.25">
      <c r="A187" s="657" t="s">
        <v>1185</v>
      </c>
      <c r="B187" s="655" t="s">
        <v>1186</v>
      </c>
      <c r="C187" s="658">
        <v>19201900344</v>
      </c>
      <c r="D187" s="659">
        <v>3.42</v>
      </c>
      <c r="E187" s="660" t="s">
        <v>419</v>
      </c>
    </row>
    <row r="188" spans="1:5" ht="15.75" x14ac:dyDescent="0.25">
      <c r="A188" s="657" t="s">
        <v>1185</v>
      </c>
      <c r="B188" s="655" t="s">
        <v>1186</v>
      </c>
      <c r="C188" s="658">
        <v>19201900350</v>
      </c>
      <c r="D188" s="659">
        <v>3.4</v>
      </c>
      <c r="E188" s="660" t="s">
        <v>419</v>
      </c>
    </row>
    <row r="189" spans="1:5" ht="15.75" x14ac:dyDescent="0.25">
      <c r="A189" s="657" t="s">
        <v>1185</v>
      </c>
      <c r="B189" s="655" t="s">
        <v>1186</v>
      </c>
      <c r="C189" s="658">
        <v>19201900327</v>
      </c>
      <c r="D189" s="659">
        <v>3.14</v>
      </c>
      <c r="E189" s="660" t="s">
        <v>419</v>
      </c>
    </row>
    <row r="190" spans="1:5" ht="15.75" x14ac:dyDescent="0.25">
      <c r="A190" s="657" t="s">
        <v>1185</v>
      </c>
      <c r="B190" s="655" t="s">
        <v>1186</v>
      </c>
      <c r="C190" s="658">
        <v>19201900267</v>
      </c>
      <c r="D190" s="659">
        <v>2.88</v>
      </c>
      <c r="E190" s="660" t="s">
        <v>419</v>
      </c>
    </row>
    <row r="191" spans="1:5" ht="15.75" x14ac:dyDescent="0.25">
      <c r="A191" s="657" t="s">
        <v>1185</v>
      </c>
      <c r="B191" s="655" t="s">
        <v>1186</v>
      </c>
      <c r="C191" s="658">
        <v>19201900364</v>
      </c>
      <c r="D191" s="659">
        <v>2.4900000000000002</v>
      </c>
      <c r="E191" s="662" t="s">
        <v>420</v>
      </c>
    </row>
    <row r="192" spans="1:5" ht="15.75" x14ac:dyDescent="0.25">
      <c r="A192" s="657" t="s">
        <v>1185</v>
      </c>
      <c r="B192" s="655" t="s">
        <v>877</v>
      </c>
      <c r="C192" s="661">
        <v>19201900321</v>
      </c>
      <c r="D192" s="30">
        <v>3.97</v>
      </c>
      <c r="E192" s="660" t="s">
        <v>419</v>
      </c>
    </row>
    <row r="193" spans="1:5" ht="15.75" x14ac:dyDescent="0.25">
      <c r="A193" s="657" t="s">
        <v>1227</v>
      </c>
      <c r="B193" s="2" t="s">
        <v>1122</v>
      </c>
      <c r="C193" s="2">
        <v>19202000015</v>
      </c>
      <c r="D193" s="2">
        <v>4.29</v>
      </c>
      <c r="E193" s="660" t="s">
        <v>419</v>
      </c>
    </row>
    <row r="194" spans="1:5" ht="15.75" x14ac:dyDescent="0.25">
      <c r="A194" s="2" t="s">
        <v>1227</v>
      </c>
      <c r="B194" s="2" t="s">
        <v>1122</v>
      </c>
      <c r="C194" s="2">
        <v>19202000011</v>
      </c>
      <c r="D194" s="2">
        <v>4.21</v>
      </c>
      <c r="E194" s="660" t="s">
        <v>419</v>
      </c>
    </row>
    <row r="195" spans="1:5" ht="15.75" x14ac:dyDescent="0.25">
      <c r="A195" s="2" t="s">
        <v>1227</v>
      </c>
      <c r="B195" s="2" t="s">
        <v>1122</v>
      </c>
      <c r="C195" s="2">
        <v>19202000022</v>
      </c>
      <c r="D195" s="2">
        <v>4.18</v>
      </c>
      <c r="E195" s="660" t="s">
        <v>419</v>
      </c>
    </row>
    <row r="196" spans="1:5" ht="15.75" x14ac:dyDescent="0.25">
      <c r="A196" s="2" t="s">
        <v>1227</v>
      </c>
      <c r="B196" s="2" t="s">
        <v>1122</v>
      </c>
      <c r="C196" s="2">
        <v>19202000003</v>
      </c>
      <c r="D196" s="2">
        <v>4.08</v>
      </c>
      <c r="E196" s="660" t="s">
        <v>419</v>
      </c>
    </row>
    <row r="197" spans="1:5" ht="15.75" x14ac:dyDescent="0.25">
      <c r="A197" s="2" t="s">
        <v>1227</v>
      </c>
      <c r="B197" s="2" t="s">
        <v>1122</v>
      </c>
      <c r="C197" s="2">
        <v>19202000021</v>
      </c>
      <c r="D197" s="2">
        <v>4.08</v>
      </c>
      <c r="E197" s="660" t="s">
        <v>419</v>
      </c>
    </row>
    <row r="198" spans="1:5" ht="15.75" x14ac:dyDescent="0.25">
      <c r="A198" s="2" t="s">
        <v>1227</v>
      </c>
      <c r="B198" s="2" t="s">
        <v>1122</v>
      </c>
      <c r="C198" s="2">
        <v>19202000008</v>
      </c>
      <c r="D198" s="2">
        <v>4.0599999999999996</v>
      </c>
      <c r="E198" s="660" t="s">
        <v>419</v>
      </c>
    </row>
    <row r="199" spans="1:5" ht="15.75" x14ac:dyDescent="0.25">
      <c r="A199" s="657" t="s">
        <v>1227</v>
      </c>
      <c r="B199" s="2" t="s">
        <v>1122</v>
      </c>
      <c r="C199" s="2">
        <v>19202000013</v>
      </c>
      <c r="D199" s="2">
        <v>3.99</v>
      </c>
      <c r="E199" s="660" t="s">
        <v>419</v>
      </c>
    </row>
    <row r="200" spans="1:5" ht="15.75" x14ac:dyDescent="0.25">
      <c r="A200" s="2" t="s">
        <v>1227</v>
      </c>
      <c r="B200" s="2" t="s">
        <v>1122</v>
      </c>
      <c r="C200" s="2">
        <v>19202000017</v>
      </c>
      <c r="D200" s="2">
        <v>3.97</v>
      </c>
      <c r="E200" s="660" t="s">
        <v>419</v>
      </c>
    </row>
    <row r="201" spans="1:5" ht="15.75" x14ac:dyDescent="0.25">
      <c r="A201" s="2" t="s">
        <v>1227</v>
      </c>
      <c r="B201" s="2" t="s">
        <v>1122</v>
      </c>
      <c r="C201" s="2">
        <v>19202000004</v>
      </c>
      <c r="D201" s="2">
        <v>3.94</v>
      </c>
      <c r="E201" s="660" t="s">
        <v>419</v>
      </c>
    </row>
    <row r="202" spans="1:5" ht="15.75" x14ac:dyDescent="0.25">
      <c r="A202" s="2" t="s">
        <v>1227</v>
      </c>
      <c r="B202" s="2" t="s">
        <v>1122</v>
      </c>
      <c r="C202" s="2">
        <v>19202000006</v>
      </c>
      <c r="D202" s="2">
        <v>3.81</v>
      </c>
      <c r="E202" s="660" t="s">
        <v>419</v>
      </c>
    </row>
    <row r="203" spans="1:5" ht="15.75" x14ac:dyDescent="0.25">
      <c r="A203" s="2" t="s">
        <v>1227</v>
      </c>
      <c r="B203" s="2" t="s">
        <v>1122</v>
      </c>
      <c r="C203" s="2">
        <v>19202000018</v>
      </c>
      <c r="D203" s="2">
        <v>3.8</v>
      </c>
      <c r="E203" s="660" t="s">
        <v>419</v>
      </c>
    </row>
    <row r="204" spans="1:5" ht="15.75" x14ac:dyDescent="0.25">
      <c r="A204" s="2" t="s">
        <v>1227</v>
      </c>
      <c r="B204" s="2" t="s">
        <v>1122</v>
      </c>
      <c r="C204" s="2">
        <v>19202000007</v>
      </c>
      <c r="D204" s="2">
        <v>3.79</v>
      </c>
      <c r="E204" s="660" t="s">
        <v>419</v>
      </c>
    </row>
    <row r="205" spans="1:5" ht="15.75" x14ac:dyDescent="0.25">
      <c r="A205" s="657" t="s">
        <v>1227</v>
      </c>
      <c r="B205" s="2" t="s">
        <v>1122</v>
      </c>
      <c r="C205" s="2">
        <v>19202000009</v>
      </c>
      <c r="D205" s="2">
        <v>3.75</v>
      </c>
      <c r="E205" s="660" t="s">
        <v>419</v>
      </c>
    </row>
    <row r="206" spans="1:5" ht="15.75" x14ac:dyDescent="0.25">
      <c r="A206" s="2" t="s">
        <v>1227</v>
      </c>
      <c r="B206" s="2" t="s">
        <v>1122</v>
      </c>
      <c r="C206" s="2">
        <v>19202000005</v>
      </c>
      <c r="D206" s="2">
        <v>2.88</v>
      </c>
      <c r="E206" s="662" t="s">
        <v>420</v>
      </c>
    </row>
    <row r="207" spans="1:5" ht="15.75" x14ac:dyDescent="0.25">
      <c r="A207" s="2" t="s">
        <v>1227</v>
      </c>
      <c r="B207" s="2" t="s">
        <v>1122</v>
      </c>
      <c r="C207" s="2">
        <v>19202000023</v>
      </c>
      <c r="D207" s="2">
        <v>2.5099999999999998</v>
      </c>
      <c r="E207" s="662" t="s">
        <v>420</v>
      </c>
    </row>
    <row r="208" spans="1:5" ht="15.75" x14ac:dyDescent="0.25">
      <c r="A208" s="2" t="s">
        <v>1227</v>
      </c>
      <c r="B208" s="2" t="s">
        <v>1122</v>
      </c>
      <c r="C208" s="2">
        <v>19202000019</v>
      </c>
      <c r="D208" s="2">
        <v>2.41</v>
      </c>
      <c r="E208" s="662" t="s">
        <v>420</v>
      </c>
    </row>
    <row r="209" spans="1:7" ht="15.75" x14ac:dyDescent="0.25">
      <c r="A209" s="2" t="s">
        <v>1227</v>
      </c>
      <c r="B209" s="2" t="s">
        <v>1122</v>
      </c>
      <c r="C209" s="2">
        <v>19202000020</v>
      </c>
      <c r="D209" s="2">
        <v>2.25</v>
      </c>
      <c r="E209" s="662" t="s">
        <v>420</v>
      </c>
    </row>
    <row r="210" spans="1:7" ht="15.75" x14ac:dyDescent="0.25">
      <c r="A210" s="2" t="s">
        <v>1227</v>
      </c>
      <c r="B210" s="2" t="s">
        <v>1122</v>
      </c>
      <c r="C210" s="2">
        <v>19202000016</v>
      </c>
      <c r="D210" s="2">
        <v>2.2000000000000002</v>
      </c>
      <c r="E210" s="662" t="s">
        <v>420</v>
      </c>
    </row>
    <row r="211" spans="1:7" ht="15.75" x14ac:dyDescent="0.25">
      <c r="A211" s="2" t="s">
        <v>1233</v>
      </c>
      <c r="B211" s="655" t="s">
        <v>1186</v>
      </c>
      <c r="C211" s="2">
        <v>19202000127</v>
      </c>
      <c r="D211" s="2">
        <v>4.05</v>
      </c>
      <c r="E211" s="660" t="s">
        <v>419</v>
      </c>
      <c r="F211" s="647"/>
      <c r="G211" s="647"/>
    </row>
    <row r="212" spans="1:7" ht="15.75" x14ac:dyDescent="0.25">
      <c r="A212" s="2" t="s">
        <v>1233</v>
      </c>
      <c r="B212" s="655" t="s">
        <v>1186</v>
      </c>
      <c r="C212" s="2">
        <v>19202000180</v>
      </c>
      <c r="D212" s="2">
        <v>4.05</v>
      </c>
      <c r="E212" s="660" t="s">
        <v>419</v>
      </c>
      <c r="F212" s="647"/>
      <c r="G212" s="647"/>
    </row>
    <row r="213" spans="1:7" ht="15.75" x14ac:dyDescent="0.25">
      <c r="A213" s="2" t="s">
        <v>1233</v>
      </c>
      <c r="B213" s="655" t="s">
        <v>1186</v>
      </c>
      <c r="C213" s="2">
        <v>19202000114</v>
      </c>
      <c r="D213" s="2">
        <v>3.96</v>
      </c>
      <c r="E213" s="660" t="s">
        <v>419</v>
      </c>
      <c r="F213" s="647"/>
      <c r="G213" s="647"/>
    </row>
    <row r="214" spans="1:7" ht="15.75" x14ac:dyDescent="0.25">
      <c r="A214" s="2" t="s">
        <v>1233</v>
      </c>
      <c r="B214" s="655" t="s">
        <v>1186</v>
      </c>
      <c r="C214" s="2">
        <v>19202000186</v>
      </c>
      <c r="D214" s="2">
        <v>3.89</v>
      </c>
      <c r="E214" s="660" t="s">
        <v>419</v>
      </c>
      <c r="F214" s="647"/>
      <c r="G214" s="647"/>
    </row>
    <row r="215" spans="1:7" ht="15.75" x14ac:dyDescent="0.25">
      <c r="A215" s="2" t="s">
        <v>1233</v>
      </c>
      <c r="B215" s="655" t="s">
        <v>1186</v>
      </c>
      <c r="C215" s="2">
        <v>19202000161</v>
      </c>
      <c r="D215" s="2">
        <v>3.77</v>
      </c>
      <c r="E215" s="660" t="s">
        <v>419</v>
      </c>
      <c r="F215" s="647"/>
      <c r="G215" s="647"/>
    </row>
    <row r="216" spans="1:7" ht="15.75" x14ac:dyDescent="0.25">
      <c r="A216" s="2" t="s">
        <v>1233</v>
      </c>
      <c r="B216" s="655" t="s">
        <v>1186</v>
      </c>
      <c r="C216" s="2">
        <v>19202000145</v>
      </c>
      <c r="D216" s="2">
        <v>3.74</v>
      </c>
      <c r="E216" s="660" t="s">
        <v>419</v>
      </c>
      <c r="F216" s="647"/>
      <c r="G216" s="647"/>
    </row>
    <row r="217" spans="1:7" ht="15.75" x14ac:dyDescent="0.25">
      <c r="A217" s="2" t="s">
        <v>1233</v>
      </c>
      <c r="B217" s="655" t="s">
        <v>1186</v>
      </c>
      <c r="C217" s="2">
        <v>19202000170</v>
      </c>
      <c r="D217" s="2">
        <v>3.71</v>
      </c>
      <c r="E217" s="660" t="s">
        <v>419</v>
      </c>
      <c r="F217" s="647"/>
      <c r="G217" s="647"/>
    </row>
    <row r="218" spans="1:7" ht="15.75" x14ac:dyDescent="0.25">
      <c r="A218" s="2" t="s">
        <v>1233</v>
      </c>
      <c r="B218" s="655" t="s">
        <v>1186</v>
      </c>
      <c r="C218" s="2">
        <v>19202000165</v>
      </c>
      <c r="D218" s="2">
        <v>3.66</v>
      </c>
      <c r="E218" s="660" t="s">
        <v>419</v>
      </c>
      <c r="F218" s="647"/>
      <c r="G218" s="647"/>
    </row>
    <row r="219" spans="1:7" ht="15.75" x14ac:dyDescent="0.25">
      <c r="A219" s="2" t="s">
        <v>1233</v>
      </c>
      <c r="B219" s="655" t="s">
        <v>1186</v>
      </c>
      <c r="C219" s="2">
        <v>19202000143</v>
      </c>
      <c r="D219" s="2">
        <v>3.56</v>
      </c>
      <c r="E219" s="660" t="s">
        <v>419</v>
      </c>
      <c r="F219" s="647"/>
      <c r="G219" s="647"/>
    </row>
    <row r="220" spans="1:7" ht="15.75" x14ac:dyDescent="0.25">
      <c r="A220" s="2" t="s">
        <v>1233</v>
      </c>
      <c r="B220" s="655" t="s">
        <v>1186</v>
      </c>
      <c r="C220" s="2">
        <v>19202000156</v>
      </c>
      <c r="D220" s="2">
        <v>3.46</v>
      </c>
      <c r="E220" s="660" t="s">
        <v>419</v>
      </c>
      <c r="F220" s="647"/>
      <c r="G220" s="647"/>
    </row>
    <row r="221" spans="1:7" ht="15.75" x14ac:dyDescent="0.25">
      <c r="A221" s="2" t="s">
        <v>1233</v>
      </c>
      <c r="B221" s="655" t="s">
        <v>1186</v>
      </c>
      <c r="C221" s="2">
        <v>19202000188</v>
      </c>
      <c r="D221" s="2">
        <v>3.43</v>
      </c>
      <c r="E221" s="660" t="s">
        <v>419</v>
      </c>
      <c r="F221" s="647"/>
      <c r="G221" s="647"/>
    </row>
    <row r="222" spans="1:7" ht="15.75" x14ac:dyDescent="0.25">
      <c r="A222" s="2" t="s">
        <v>1233</v>
      </c>
      <c r="B222" s="655" t="s">
        <v>1186</v>
      </c>
      <c r="C222" s="2">
        <v>19202000172</v>
      </c>
      <c r="D222" s="2">
        <v>3.31</v>
      </c>
      <c r="E222" s="660" t="s">
        <v>419</v>
      </c>
      <c r="F222" s="647"/>
      <c r="G222" s="647"/>
    </row>
    <row r="223" spans="1:7" ht="15.75" x14ac:dyDescent="0.25">
      <c r="A223" s="2" t="s">
        <v>1233</v>
      </c>
      <c r="B223" s="655" t="s">
        <v>1186</v>
      </c>
      <c r="C223" s="2">
        <v>19202000177</v>
      </c>
      <c r="D223" s="2">
        <v>2.4500000000000002</v>
      </c>
      <c r="E223" s="662" t="s">
        <v>420</v>
      </c>
      <c r="F223" s="647"/>
      <c r="G223" s="647"/>
    </row>
    <row r="224" spans="1:7" ht="15.75" x14ac:dyDescent="0.25">
      <c r="A224" s="2" t="s">
        <v>1233</v>
      </c>
      <c r="B224" s="655" t="s">
        <v>1186</v>
      </c>
      <c r="C224" s="2">
        <v>19202000151</v>
      </c>
      <c r="D224" s="2">
        <v>2.29</v>
      </c>
      <c r="E224" s="662" t="s">
        <v>420</v>
      </c>
      <c r="F224" s="647"/>
      <c r="G224" s="647"/>
    </row>
    <row r="225" spans="1:7" ht="15.75" x14ac:dyDescent="0.25">
      <c r="A225" s="2" t="s">
        <v>1233</v>
      </c>
      <c r="B225" s="655" t="s">
        <v>1186</v>
      </c>
      <c r="C225" s="2">
        <v>19202000184</v>
      </c>
      <c r="D225" s="2">
        <v>2.21</v>
      </c>
      <c r="E225" s="662" t="s">
        <v>420</v>
      </c>
      <c r="F225" s="647"/>
      <c r="G225" s="647"/>
    </row>
    <row r="226" spans="1:7" ht="15.75" x14ac:dyDescent="0.25">
      <c r="A226" s="2" t="s">
        <v>1233</v>
      </c>
      <c r="B226" s="655" t="s">
        <v>877</v>
      </c>
      <c r="C226" s="2">
        <v>19202000117</v>
      </c>
      <c r="D226" s="2">
        <v>4.13</v>
      </c>
      <c r="E226" s="660" t="s">
        <v>419</v>
      </c>
    </row>
    <row r="227" spans="1:7" ht="15.75" x14ac:dyDescent="0.25">
      <c r="A227" s="2" t="s">
        <v>1233</v>
      </c>
      <c r="B227" s="655" t="s">
        <v>877</v>
      </c>
      <c r="C227" s="2">
        <v>19202000181</v>
      </c>
      <c r="D227" s="2">
        <v>4.04</v>
      </c>
      <c r="E227" s="660" t="s">
        <v>419</v>
      </c>
    </row>
    <row r="228" spans="1:7" ht="15.75" x14ac:dyDescent="0.25">
      <c r="A228" s="2" t="s">
        <v>1271</v>
      </c>
      <c r="B228" s="655" t="s">
        <v>1186</v>
      </c>
      <c r="C228" s="2">
        <v>19202000897</v>
      </c>
      <c r="D228" s="2">
        <v>4.13</v>
      </c>
      <c r="E228" s="660" t="s">
        <v>419</v>
      </c>
    </row>
    <row r="229" spans="1:7" ht="15.75" x14ac:dyDescent="0.25">
      <c r="A229" s="2" t="s">
        <v>1271</v>
      </c>
      <c r="B229" s="655" t="s">
        <v>1186</v>
      </c>
      <c r="C229" s="2">
        <v>19202000898</v>
      </c>
      <c r="D229" s="2">
        <v>3.97</v>
      </c>
      <c r="E229" s="660" t="s">
        <v>419</v>
      </c>
    </row>
    <row r="230" spans="1:7" ht="15.75" x14ac:dyDescent="0.25">
      <c r="A230" s="2" t="s">
        <v>1271</v>
      </c>
      <c r="B230" s="655" t="s">
        <v>1186</v>
      </c>
      <c r="C230" s="2">
        <v>19202000876</v>
      </c>
      <c r="D230" s="2">
        <v>3.83</v>
      </c>
      <c r="E230" s="660" t="s">
        <v>419</v>
      </c>
    </row>
    <row r="231" spans="1:7" ht="15.75" x14ac:dyDescent="0.25">
      <c r="A231" s="2" t="s">
        <v>1271</v>
      </c>
      <c r="B231" s="655" t="s">
        <v>1186</v>
      </c>
      <c r="C231" s="2">
        <v>19202000874</v>
      </c>
      <c r="D231" s="2">
        <v>3.79</v>
      </c>
      <c r="E231" s="660" t="s">
        <v>419</v>
      </c>
    </row>
    <row r="232" spans="1:7" ht="15.75" x14ac:dyDescent="0.25">
      <c r="A232" s="2" t="s">
        <v>1271</v>
      </c>
      <c r="B232" s="655" t="s">
        <v>1186</v>
      </c>
      <c r="C232" s="2">
        <v>19202000877</v>
      </c>
      <c r="D232" s="2">
        <v>3.68</v>
      </c>
      <c r="E232" s="660" t="s">
        <v>419</v>
      </c>
    </row>
    <row r="233" spans="1:7" ht="15.75" x14ac:dyDescent="0.25">
      <c r="A233" s="2" t="s">
        <v>1271</v>
      </c>
      <c r="B233" s="655" t="s">
        <v>1186</v>
      </c>
      <c r="C233" s="2">
        <v>19202000882</v>
      </c>
      <c r="D233" s="2">
        <v>3.57</v>
      </c>
      <c r="E233" s="660" t="s">
        <v>419</v>
      </c>
    </row>
    <row r="234" spans="1:7" ht="15.75" x14ac:dyDescent="0.25">
      <c r="A234" s="2" t="s">
        <v>1271</v>
      </c>
      <c r="B234" s="655" t="s">
        <v>1186</v>
      </c>
      <c r="C234" s="2">
        <v>19202000880</v>
      </c>
      <c r="D234" s="2">
        <v>3.52</v>
      </c>
      <c r="E234" s="660" t="s">
        <v>419</v>
      </c>
    </row>
    <row r="235" spans="1:7" ht="15.75" x14ac:dyDescent="0.25">
      <c r="A235" s="2" t="s">
        <v>1271</v>
      </c>
      <c r="B235" s="655" t="s">
        <v>1186</v>
      </c>
      <c r="C235" s="2">
        <v>19202000893</v>
      </c>
      <c r="D235" s="2">
        <v>3.47</v>
      </c>
      <c r="E235" s="660" t="s">
        <v>419</v>
      </c>
    </row>
    <row r="236" spans="1:7" ht="15.75" x14ac:dyDescent="0.25">
      <c r="A236" s="2" t="s">
        <v>1271</v>
      </c>
      <c r="B236" s="655" t="s">
        <v>1186</v>
      </c>
      <c r="C236" s="2">
        <v>19202000891</v>
      </c>
      <c r="D236" s="2">
        <v>3.44</v>
      </c>
      <c r="E236" s="660" t="s">
        <v>419</v>
      </c>
    </row>
    <row r="237" spans="1:7" ht="15.75" x14ac:dyDescent="0.25">
      <c r="A237" s="2" t="s">
        <v>1271</v>
      </c>
      <c r="B237" s="655" t="s">
        <v>1186</v>
      </c>
      <c r="C237" s="2">
        <v>19202000901</v>
      </c>
      <c r="D237" s="2">
        <v>3.41</v>
      </c>
      <c r="E237" s="660" t="s">
        <v>419</v>
      </c>
    </row>
    <row r="238" spans="1:7" ht="15.75" x14ac:dyDescent="0.25">
      <c r="A238" s="2" t="s">
        <v>1271</v>
      </c>
      <c r="B238" s="655" t="s">
        <v>1186</v>
      </c>
      <c r="C238" s="2">
        <v>19202000896</v>
      </c>
      <c r="D238" s="2">
        <v>3.3</v>
      </c>
      <c r="E238" s="660" t="s">
        <v>419</v>
      </c>
    </row>
    <row r="239" spans="1:7" ht="15.75" x14ac:dyDescent="0.25">
      <c r="A239" s="2" t="s">
        <v>1271</v>
      </c>
      <c r="B239" s="655" t="s">
        <v>1186</v>
      </c>
      <c r="C239" s="2">
        <v>19202000881</v>
      </c>
      <c r="D239" s="2">
        <v>3.16</v>
      </c>
      <c r="E239" s="660" t="s">
        <v>419</v>
      </c>
    </row>
    <row r="240" spans="1:7" ht="15.75" x14ac:dyDescent="0.25">
      <c r="A240" s="2" t="s">
        <v>1271</v>
      </c>
      <c r="B240" s="655" t="s">
        <v>1186</v>
      </c>
      <c r="C240" s="2">
        <v>19202000892</v>
      </c>
      <c r="D240" s="2">
        <v>3.1</v>
      </c>
      <c r="E240" s="660" t="s">
        <v>419</v>
      </c>
    </row>
    <row r="241" spans="1:5" ht="15.75" x14ac:dyDescent="0.25">
      <c r="A241" s="2" t="s">
        <v>1271</v>
      </c>
      <c r="B241" s="655" t="s">
        <v>1186</v>
      </c>
      <c r="C241" s="2">
        <v>19202000888</v>
      </c>
      <c r="D241" s="2">
        <v>3.08</v>
      </c>
      <c r="E241" s="660" t="s">
        <v>419</v>
      </c>
    </row>
    <row r="242" spans="1:5" ht="15.75" x14ac:dyDescent="0.25">
      <c r="A242" s="2" t="s">
        <v>1271</v>
      </c>
      <c r="B242" s="655" t="s">
        <v>1186</v>
      </c>
      <c r="C242" s="2">
        <v>19202000884</v>
      </c>
      <c r="D242" s="2">
        <v>2.76</v>
      </c>
      <c r="E242" s="660" t="s">
        <v>419</v>
      </c>
    </row>
    <row r="243" spans="1:5" ht="15.75" x14ac:dyDescent="0.25">
      <c r="A243" s="2" t="s">
        <v>1271</v>
      </c>
      <c r="B243" s="655" t="s">
        <v>1186</v>
      </c>
      <c r="C243" s="2">
        <v>19202000886</v>
      </c>
      <c r="D243" s="2">
        <v>2.8</v>
      </c>
      <c r="E243" s="662" t="s">
        <v>420</v>
      </c>
    </row>
    <row r="244" spans="1:5" ht="15.75" x14ac:dyDescent="0.25">
      <c r="A244" s="2" t="s">
        <v>1271</v>
      </c>
      <c r="B244" s="655" t="s">
        <v>1186</v>
      </c>
      <c r="C244" s="2">
        <v>19202000890</v>
      </c>
      <c r="D244" s="2">
        <v>2.75</v>
      </c>
      <c r="E244" s="662" t="s">
        <v>420</v>
      </c>
    </row>
    <row r="245" spans="1:5" ht="15.75" x14ac:dyDescent="0.25">
      <c r="A245" s="2" t="s">
        <v>1271</v>
      </c>
      <c r="B245" s="655" t="s">
        <v>1186</v>
      </c>
      <c r="C245" s="2">
        <v>19202000889</v>
      </c>
      <c r="D245" s="2">
        <v>2.5499999999999998</v>
      </c>
      <c r="E245" s="662" t="s">
        <v>420</v>
      </c>
    </row>
    <row r="246" spans="1:5" ht="15.75" x14ac:dyDescent="0.25">
      <c r="A246" s="2" t="s">
        <v>1271</v>
      </c>
      <c r="B246" s="655" t="s">
        <v>1186</v>
      </c>
      <c r="C246" s="2">
        <v>19202000894</v>
      </c>
      <c r="D246" s="2">
        <v>2.54</v>
      </c>
      <c r="E246" s="662" t="s">
        <v>420</v>
      </c>
    </row>
    <row r="247" spans="1:5" ht="15.75" x14ac:dyDescent="0.25">
      <c r="A247" s="2" t="s">
        <v>1271</v>
      </c>
      <c r="B247" s="655" t="s">
        <v>1186</v>
      </c>
      <c r="C247" s="2">
        <v>19202000887</v>
      </c>
      <c r="D247" s="2">
        <v>2.4700000000000002</v>
      </c>
      <c r="E247" s="662" t="s">
        <v>420</v>
      </c>
    </row>
    <row r="248" spans="1:5" ht="15.75" x14ac:dyDescent="0.25">
      <c r="A248" s="2" t="s">
        <v>1271</v>
      </c>
      <c r="B248" s="655" t="s">
        <v>1186</v>
      </c>
      <c r="C248" s="2">
        <v>19202000878</v>
      </c>
      <c r="D248" s="2">
        <v>2.42</v>
      </c>
      <c r="E248" s="662" t="s">
        <v>420</v>
      </c>
    </row>
    <row r="249" spans="1:5" ht="15.75" x14ac:dyDescent="0.25">
      <c r="A249" s="2" t="s">
        <v>1271</v>
      </c>
      <c r="B249" s="655" t="s">
        <v>1186</v>
      </c>
      <c r="C249" s="2">
        <v>19202000900</v>
      </c>
      <c r="D249" s="2">
        <v>2.31</v>
      </c>
      <c r="E249" s="662" t="s">
        <v>420</v>
      </c>
    </row>
    <row r="250" spans="1:5" ht="15.75" x14ac:dyDescent="0.25">
      <c r="A250" s="2" t="s">
        <v>1271</v>
      </c>
      <c r="B250" s="655" t="s">
        <v>1186</v>
      </c>
      <c r="C250" s="2">
        <v>19202000883</v>
      </c>
      <c r="D250" s="2">
        <v>2.02</v>
      </c>
      <c r="E250" s="662" t="s">
        <v>420</v>
      </c>
    </row>
    <row r="251" spans="1:5" ht="15.75" x14ac:dyDescent="0.25">
      <c r="A251" s="2" t="s">
        <v>1271</v>
      </c>
      <c r="B251" s="655" t="s">
        <v>877</v>
      </c>
      <c r="C251" s="2">
        <v>19202000902</v>
      </c>
      <c r="D251" s="2">
        <v>4.51</v>
      </c>
      <c r="E251" s="660" t="s">
        <v>419</v>
      </c>
    </row>
    <row r="252" spans="1:5" ht="15.75" x14ac:dyDescent="0.25">
      <c r="A252" s="2" t="s">
        <v>1271</v>
      </c>
      <c r="B252" s="655" t="s">
        <v>877</v>
      </c>
      <c r="C252" s="2">
        <v>19202000895</v>
      </c>
      <c r="D252" s="2">
        <v>4.34</v>
      </c>
      <c r="E252" s="660" t="s">
        <v>419</v>
      </c>
    </row>
    <row r="253" spans="1:5" ht="15.75" x14ac:dyDescent="0.25">
      <c r="A253" s="2" t="s">
        <v>1271</v>
      </c>
      <c r="B253" s="655" t="s">
        <v>877</v>
      </c>
      <c r="C253" s="2">
        <v>19202000885</v>
      </c>
      <c r="D253" s="2">
        <v>2.89</v>
      </c>
      <c r="E253" s="662" t="s">
        <v>420</v>
      </c>
    </row>
    <row r="254" spans="1:5" ht="15.75" x14ac:dyDescent="0.25">
      <c r="A254" s="2" t="s">
        <v>1329</v>
      </c>
      <c r="B254" s="2" t="s">
        <v>1330</v>
      </c>
      <c r="C254" s="2">
        <v>19202100354</v>
      </c>
      <c r="D254" s="2">
        <v>392</v>
      </c>
      <c r="E254" s="660" t="s">
        <v>419</v>
      </c>
    </row>
    <row r="255" spans="1:5" ht="15.75" x14ac:dyDescent="0.25">
      <c r="A255" s="2" t="s">
        <v>1329</v>
      </c>
      <c r="B255" s="2" t="s">
        <v>1330</v>
      </c>
      <c r="C255" s="2">
        <v>19202100353</v>
      </c>
      <c r="D255" s="2">
        <v>368</v>
      </c>
      <c r="E255" s="660" t="s">
        <v>419</v>
      </c>
    </row>
    <row r="256" spans="1:5" ht="15.75" x14ac:dyDescent="0.25">
      <c r="A256" s="2" t="s">
        <v>1329</v>
      </c>
      <c r="B256" s="2" t="s">
        <v>1330</v>
      </c>
      <c r="C256" s="2">
        <v>19202100352</v>
      </c>
      <c r="D256" s="2">
        <v>313.60000000000002</v>
      </c>
      <c r="E256" s="660" t="s">
        <v>419</v>
      </c>
    </row>
    <row r="257" spans="1:5" ht="15.75" x14ac:dyDescent="0.25">
      <c r="A257" s="647" t="s">
        <v>1371</v>
      </c>
      <c r="B257" s="26" t="s">
        <v>663</v>
      </c>
      <c r="C257" s="822">
        <v>19202100977</v>
      </c>
      <c r="D257" s="823">
        <v>4.3099999999999996</v>
      </c>
      <c r="E257" s="660" t="s">
        <v>419</v>
      </c>
    </row>
    <row r="258" spans="1:5" ht="15.75" x14ac:dyDescent="0.25">
      <c r="A258" s="647" t="s">
        <v>1371</v>
      </c>
      <c r="B258" s="26" t="s">
        <v>663</v>
      </c>
      <c r="C258" s="822">
        <v>19202100967</v>
      </c>
      <c r="D258" s="823">
        <v>4.2300000000000004</v>
      </c>
      <c r="E258" s="660" t="s">
        <v>419</v>
      </c>
    </row>
    <row r="259" spans="1:5" ht="15.75" x14ac:dyDescent="0.25">
      <c r="A259" s="647" t="s">
        <v>1371</v>
      </c>
      <c r="B259" s="26" t="s">
        <v>663</v>
      </c>
      <c r="C259" s="822">
        <v>19202100904</v>
      </c>
      <c r="D259" s="823">
        <v>4.1399999999999997</v>
      </c>
      <c r="E259" s="660" t="s">
        <v>419</v>
      </c>
    </row>
    <row r="260" spans="1:5" ht="15.75" x14ac:dyDescent="0.25">
      <c r="A260" s="647" t="s">
        <v>1371</v>
      </c>
      <c r="B260" s="26" t="s">
        <v>663</v>
      </c>
      <c r="C260" s="822">
        <v>19202100913</v>
      </c>
      <c r="D260" s="823">
        <v>4.04</v>
      </c>
      <c r="E260" s="660" t="s">
        <v>419</v>
      </c>
    </row>
    <row r="261" spans="1:5" ht="15.75" x14ac:dyDescent="0.25">
      <c r="A261" s="647" t="s">
        <v>1371</v>
      </c>
      <c r="B261" s="26" t="s">
        <v>663</v>
      </c>
      <c r="C261" s="822">
        <v>19202100971</v>
      </c>
      <c r="D261" s="823">
        <v>4.03</v>
      </c>
      <c r="E261" s="660" t="s">
        <v>419</v>
      </c>
    </row>
    <row r="262" spans="1:5" ht="15.75" x14ac:dyDescent="0.25">
      <c r="A262" s="647" t="s">
        <v>1371</v>
      </c>
      <c r="B262" s="26" t="s">
        <v>663</v>
      </c>
      <c r="C262" s="822">
        <v>19202100978</v>
      </c>
      <c r="D262" s="823">
        <v>3.96</v>
      </c>
      <c r="E262" s="660" t="s">
        <v>419</v>
      </c>
    </row>
    <row r="263" spans="1:5" ht="15.75" x14ac:dyDescent="0.25">
      <c r="A263" s="647" t="s">
        <v>1371</v>
      </c>
      <c r="B263" s="26" t="s">
        <v>663</v>
      </c>
      <c r="C263" s="822">
        <v>19202100970</v>
      </c>
      <c r="D263" s="823">
        <v>3.91</v>
      </c>
      <c r="E263" s="660" t="s">
        <v>419</v>
      </c>
    </row>
    <row r="264" spans="1:5" ht="15.75" x14ac:dyDescent="0.25">
      <c r="A264" s="647" t="s">
        <v>1371</v>
      </c>
      <c r="B264" s="26" t="s">
        <v>663</v>
      </c>
      <c r="C264" s="822">
        <v>19202100866</v>
      </c>
      <c r="D264" s="823">
        <v>3.77</v>
      </c>
      <c r="E264" s="660" t="s">
        <v>419</v>
      </c>
    </row>
    <row r="265" spans="1:5" ht="15.75" x14ac:dyDescent="0.25">
      <c r="A265" s="647" t="s">
        <v>1371</v>
      </c>
      <c r="B265" s="26" t="s">
        <v>663</v>
      </c>
      <c r="C265" s="822">
        <v>19202100975</v>
      </c>
      <c r="D265" s="823">
        <v>3.73</v>
      </c>
      <c r="E265" s="660" t="s">
        <v>419</v>
      </c>
    </row>
    <row r="266" spans="1:5" ht="15.75" x14ac:dyDescent="0.25">
      <c r="A266" s="647" t="s">
        <v>1371</v>
      </c>
      <c r="B266" s="26" t="s">
        <v>663</v>
      </c>
      <c r="C266" s="822">
        <v>19202100872</v>
      </c>
      <c r="D266" s="823">
        <v>3.33</v>
      </c>
      <c r="E266" s="660" t="s">
        <v>419</v>
      </c>
    </row>
    <row r="267" spans="1:5" ht="15.75" x14ac:dyDescent="0.25">
      <c r="A267" s="647" t="s">
        <v>1371</v>
      </c>
      <c r="B267" s="26" t="s">
        <v>663</v>
      </c>
      <c r="C267" s="822">
        <v>19202100845</v>
      </c>
      <c r="D267" s="823">
        <v>3.07</v>
      </c>
      <c r="E267" s="660" t="s">
        <v>419</v>
      </c>
    </row>
    <row r="268" spans="1:5" ht="15.75" x14ac:dyDescent="0.25">
      <c r="A268" s="647" t="s">
        <v>1371</v>
      </c>
      <c r="B268" s="26" t="s">
        <v>663</v>
      </c>
      <c r="C268" s="822">
        <v>19202100958</v>
      </c>
      <c r="D268" s="823">
        <v>2.73</v>
      </c>
      <c r="E268" s="660" t="s">
        <v>419</v>
      </c>
    </row>
    <row r="269" spans="1:5" ht="15.75" x14ac:dyDescent="0.25">
      <c r="A269" s="647" t="s">
        <v>1371</v>
      </c>
      <c r="B269" s="26" t="s">
        <v>663</v>
      </c>
      <c r="C269" s="822">
        <v>19202100898</v>
      </c>
      <c r="D269" s="823">
        <v>2.7</v>
      </c>
      <c r="E269" s="662" t="s">
        <v>420</v>
      </c>
    </row>
    <row r="270" spans="1:5" ht="15.75" x14ac:dyDescent="0.25">
      <c r="A270" s="647" t="s">
        <v>1371</v>
      </c>
      <c r="B270" s="26" t="s">
        <v>663</v>
      </c>
      <c r="C270" s="822">
        <v>19202100976</v>
      </c>
      <c r="D270" s="823">
        <v>2.58</v>
      </c>
      <c r="E270" s="662" t="s">
        <v>420</v>
      </c>
    </row>
    <row r="271" spans="1:5" ht="15.75" x14ac:dyDescent="0.25">
      <c r="A271" s="647" t="s">
        <v>1371</v>
      </c>
      <c r="B271" s="26" t="s">
        <v>663</v>
      </c>
      <c r="C271" s="822">
        <v>19202100973</v>
      </c>
      <c r="D271" s="823">
        <v>2.5499999999999998</v>
      </c>
      <c r="E271" s="662" t="s">
        <v>420</v>
      </c>
    </row>
    <row r="272" spans="1:5" ht="15.75" x14ac:dyDescent="0.25">
      <c r="A272" s="647" t="s">
        <v>1371</v>
      </c>
      <c r="B272" s="2" t="s">
        <v>1122</v>
      </c>
      <c r="C272" s="11">
        <v>19202100938</v>
      </c>
      <c r="D272" s="2">
        <v>4.1399999999999997</v>
      </c>
      <c r="E272" s="660" t="s">
        <v>419</v>
      </c>
    </row>
    <row r="273" spans="1:5" ht="15.75" x14ac:dyDescent="0.25">
      <c r="A273" s="647" t="s">
        <v>1371</v>
      </c>
      <c r="B273" s="2" t="s">
        <v>1122</v>
      </c>
      <c r="C273" s="11">
        <v>19202100903</v>
      </c>
      <c r="D273" s="2">
        <v>3.99</v>
      </c>
      <c r="E273" s="660" t="s">
        <v>419</v>
      </c>
    </row>
    <row r="274" spans="1:5" ht="15.75" x14ac:dyDescent="0.25">
      <c r="A274" s="647" t="s">
        <v>1371</v>
      </c>
      <c r="B274" s="2" t="s">
        <v>1122</v>
      </c>
      <c r="C274" s="11">
        <v>19202100908</v>
      </c>
      <c r="D274" s="2">
        <v>3.91</v>
      </c>
      <c r="E274" s="660" t="s">
        <v>419</v>
      </c>
    </row>
    <row r="275" spans="1:5" ht="15.75" x14ac:dyDescent="0.25">
      <c r="A275" s="647" t="s">
        <v>1371</v>
      </c>
      <c r="B275" s="2" t="s">
        <v>1122</v>
      </c>
      <c r="C275" s="11">
        <v>19202100968</v>
      </c>
      <c r="D275" s="2">
        <v>3.87</v>
      </c>
      <c r="E275" s="660" t="s">
        <v>419</v>
      </c>
    </row>
    <row r="276" spans="1:5" ht="15.75" x14ac:dyDescent="0.25">
      <c r="A276" s="647" t="s">
        <v>1371</v>
      </c>
      <c r="B276" s="2" t="s">
        <v>1122</v>
      </c>
      <c r="C276" s="11">
        <v>19202100946</v>
      </c>
      <c r="D276" s="2">
        <v>3.8</v>
      </c>
      <c r="E276" s="660" t="s">
        <v>419</v>
      </c>
    </row>
    <row r="277" spans="1:5" ht="15.75" x14ac:dyDescent="0.25">
      <c r="A277" s="647" t="s">
        <v>1371</v>
      </c>
      <c r="B277" s="2" t="s">
        <v>1122</v>
      </c>
      <c r="C277" s="11">
        <v>19202100969</v>
      </c>
      <c r="D277" s="2">
        <v>3.8</v>
      </c>
      <c r="E277" s="660" t="s">
        <v>419</v>
      </c>
    </row>
    <row r="278" spans="1:5" ht="15.75" x14ac:dyDescent="0.25">
      <c r="A278" s="647" t="s">
        <v>1371</v>
      </c>
      <c r="B278" s="2" t="s">
        <v>1122</v>
      </c>
      <c r="C278" s="11">
        <v>19202100907</v>
      </c>
      <c r="D278" s="2">
        <v>3.74</v>
      </c>
      <c r="E278" s="660" t="s">
        <v>419</v>
      </c>
    </row>
    <row r="279" spans="1:5" ht="15.75" x14ac:dyDescent="0.25">
      <c r="A279" s="647" t="s">
        <v>1371</v>
      </c>
      <c r="B279" s="2" t="s">
        <v>1122</v>
      </c>
      <c r="C279" s="11">
        <v>19202100974</v>
      </c>
      <c r="D279" s="2">
        <v>3.73</v>
      </c>
      <c r="E279" s="660" t="s">
        <v>419</v>
      </c>
    </row>
    <row r="280" spans="1:5" ht="15.75" x14ac:dyDescent="0.25">
      <c r="A280" s="647" t="s">
        <v>1371</v>
      </c>
      <c r="B280" s="2" t="s">
        <v>1122</v>
      </c>
      <c r="C280" s="11">
        <v>19202100940</v>
      </c>
      <c r="D280" s="2">
        <v>3.57</v>
      </c>
      <c r="E280" s="660" t="s">
        <v>419</v>
      </c>
    </row>
    <row r="281" spans="1:5" ht="15.75" x14ac:dyDescent="0.25">
      <c r="A281" s="647" t="s">
        <v>1371</v>
      </c>
      <c r="B281" s="2" t="s">
        <v>1122</v>
      </c>
      <c r="C281" s="11">
        <v>19202100972</v>
      </c>
      <c r="D281" s="2">
        <v>3.51</v>
      </c>
      <c r="E281" s="660" t="s">
        <v>419</v>
      </c>
    </row>
    <row r="282" spans="1:5" ht="15.75" x14ac:dyDescent="0.25">
      <c r="A282" s="647" t="s">
        <v>1371</v>
      </c>
      <c r="B282" s="2" t="s">
        <v>1122</v>
      </c>
      <c r="C282" s="11">
        <v>19202100939</v>
      </c>
      <c r="D282" s="2">
        <v>2.82</v>
      </c>
      <c r="E282" s="660" t="s">
        <v>419</v>
      </c>
    </row>
    <row r="283" spans="1:5" ht="15.75" x14ac:dyDescent="0.25">
      <c r="A283" s="647" t="s">
        <v>1371</v>
      </c>
      <c r="B283" s="179" t="s">
        <v>1122</v>
      </c>
      <c r="C283" s="480">
        <v>19202100919</v>
      </c>
      <c r="D283" s="179">
        <v>2.75</v>
      </c>
      <c r="E283" s="825" t="s">
        <v>419</v>
      </c>
    </row>
    <row r="284" spans="1:5" s="647" customFormat="1" ht="15.75" x14ac:dyDescent="0.25">
      <c r="A284" s="2" t="s">
        <v>1414</v>
      </c>
      <c r="B284" s="2" t="s">
        <v>1413</v>
      </c>
      <c r="C284" s="11">
        <v>19202101366</v>
      </c>
      <c r="D284" s="2">
        <v>4.08</v>
      </c>
      <c r="E284" s="660" t="s">
        <v>419</v>
      </c>
    </row>
    <row r="285" spans="1:5" x14ac:dyDescent="0.25">
      <c r="A285" s="2" t="s">
        <v>1414</v>
      </c>
      <c r="B285" s="2" t="s">
        <v>1413</v>
      </c>
      <c r="C285" s="11">
        <v>19202101302</v>
      </c>
      <c r="D285" s="2">
        <v>4.01</v>
      </c>
      <c r="E285" s="826" t="s">
        <v>419</v>
      </c>
    </row>
    <row r="286" spans="1:5" x14ac:dyDescent="0.25">
      <c r="A286" s="2" t="s">
        <v>1414</v>
      </c>
      <c r="B286" s="2" t="s">
        <v>1413</v>
      </c>
      <c r="C286" s="11">
        <v>19202101292</v>
      </c>
      <c r="D286" s="2">
        <v>4</v>
      </c>
      <c r="E286" s="826" t="s">
        <v>419</v>
      </c>
    </row>
    <row r="287" spans="1:5" x14ac:dyDescent="0.25">
      <c r="A287" s="2" t="s">
        <v>1414</v>
      </c>
      <c r="B287" s="2" t="s">
        <v>1413</v>
      </c>
      <c r="C287" s="11">
        <v>19202101340</v>
      </c>
      <c r="D287" s="2">
        <v>4</v>
      </c>
      <c r="E287" s="826" t="s">
        <v>419</v>
      </c>
    </row>
    <row r="288" spans="1:5" x14ac:dyDescent="0.25">
      <c r="A288" s="2" t="s">
        <v>1414</v>
      </c>
      <c r="B288" s="2" t="s">
        <v>1413</v>
      </c>
      <c r="C288" s="11">
        <v>19202101277</v>
      </c>
      <c r="D288" s="2">
        <v>3.96</v>
      </c>
      <c r="E288" s="826" t="s">
        <v>419</v>
      </c>
    </row>
    <row r="289" spans="1:5" x14ac:dyDescent="0.25">
      <c r="A289" s="2" t="s">
        <v>1414</v>
      </c>
      <c r="B289" s="2" t="s">
        <v>1413</v>
      </c>
      <c r="C289" s="11">
        <v>19202101350</v>
      </c>
      <c r="D289" s="2">
        <v>3.95</v>
      </c>
      <c r="E289" s="826" t="s">
        <v>419</v>
      </c>
    </row>
    <row r="290" spans="1:5" x14ac:dyDescent="0.25">
      <c r="A290" s="2" t="s">
        <v>1414</v>
      </c>
      <c r="B290" s="2" t="s">
        <v>1413</v>
      </c>
      <c r="C290" s="11">
        <v>19202101364</v>
      </c>
      <c r="D290" s="2">
        <v>3.95</v>
      </c>
      <c r="E290" s="826" t="s">
        <v>419</v>
      </c>
    </row>
    <row r="291" spans="1:5" x14ac:dyDescent="0.25">
      <c r="A291" s="2" t="s">
        <v>1414</v>
      </c>
      <c r="B291" s="2" t="s">
        <v>1413</v>
      </c>
      <c r="C291" s="11">
        <v>19202101370</v>
      </c>
      <c r="D291" s="2">
        <v>3.92</v>
      </c>
      <c r="E291" s="826" t="s">
        <v>419</v>
      </c>
    </row>
    <row r="292" spans="1:5" x14ac:dyDescent="0.25">
      <c r="A292" s="2" t="s">
        <v>1414</v>
      </c>
      <c r="B292" s="2" t="s">
        <v>1413</v>
      </c>
      <c r="C292" s="11">
        <v>19202101335</v>
      </c>
      <c r="D292" s="2">
        <v>3.9</v>
      </c>
      <c r="E292" s="826" t="s">
        <v>419</v>
      </c>
    </row>
    <row r="293" spans="1:5" x14ac:dyDescent="0.25">
      <c r="A293" s="2" t="s">
        <v>1414</v>
      </c>
      <c r="B293" s="2" t="s">
        <v>1413</v>
      </c>
      <c r="C293" s="11">
        <v>19202101344</v>
      </c>
      <c r="D293" s="2">
        <v>3.8</v>
      </c>
      <c r="E293" s="826" t="s">
        <v>419</v>
      </c>
    </row>
    <row r="294" spans="1:5" x14ac:dyDescent="0.25">
      <c r="A294" s="2" t="s">
        <v>1414</v>
      </c>
      <c r="B294" s="2" t="s">
        <v>1413</v>
      </c>
      <c r="C294" s="11">
        <v>19202101283</v>
      </c>
      <c r="D294" s="2">
        <v>3.77</v>
      </c>
      <c r="E294" s="826" t="s">
        <v>419</v>
      </c>
    </row>
    <row r="295" spans="1:5" x14ac:dyDescent="0.25">
      <c r="A295" s="2" t="s">
        <v>1414</v>
      </c>
      <c r="B295" s="2" t="s">
        <v>1413</v>
      </c>
      <c r="C295" s="11">
        <v>19202101371</v>
      </c>
      <c r="D295" s="2">
        <v>3.7</v>
      </c>
      <c r="E295" s="826" t="s">
        <v>419</v>
      </c>
    </row>
    <row r="296" spans="1:5" x14ac:dyDescent="0.25">
      <c r="A296" s="2" t="s">
        <v>1414</v>
      </c>
      <c r="B296" s="2" t="s">
        <v>1413</v>
      </c>
      <c r="C296" s="11">
        <v>19202101328</v>
      </c>
      <c r="D296" s="2">
        <v>3.58</v>
      </c>
      <c r="E296" s="826" t="s">
        <v>419</v>
      </c>
    </row>
    <row r="297" spans="1:5" x14ac:dyDescent="0.25">
      <c r="A297" s="2" t="s">
        <v>1414</v>
      </c>
      <c r="B297" s="2" t="s">
        <v>1413</v>
      </c>
      <c r="C297" s="11">
        <v>19202101367</v>
      </c>
      <c r="D297" s="2">
        <v>3.47</v>
      </c>
      <c r="E297" s="826" t="s">
        <v>419</v>
      </c>
    </row>
    <row r="298" spans="1:5" x14ac:dyDescent="0.25">
      <c r="A298" s="2" t="s">
        <v>1414</v>
      </c>
      <c r="B298" s="2" t="s">
        <v>1413</v>
      </c>
      <c r="C298" s="11">
        <v>19202101336</v>
      </c>
      <c r="D298" s="2">
        <v>3.44</v>
      </c>
      <c r="E298" s="826" t="s">
        <v>419</v>
      </c>
    </row>
    <row r="299" spans="1:5" x14ac:dyDescent="0.25">
      <c r="A299" s="2" t="s">
        <v>1414</v>
      </c>
      <c r="B299" s="2" t="s">
        <v>1413</v>
      </c>
      <c r="C299" s="11">
        <v>19202101299</v>
      </c>
      <c r="D299" s="2">
        <v>3.41</v>
      </c>
      <c r="E299" s="826" t="s">
        <v>419</v>
      </c>
    </row>
    <row r="300" spans="1:5" x14ac:dyDescent="0.25">
      <c r="A300" s="2" t="s">
        <v>1414</v>
      </c>
      <c r="B300" s="2" t="s">
        <v>1413</v>
      </c>
      <c r="C300" s="11">
        <v>19202101355</v>
      </c>
      <c r="D300" s="2">
        <v>3.4</v>
      </c>
      <c r="E300" s="826" t="s">
        <v>419</v>
      </c>
    </row>
    <row r="301" spans="1:5" x14ac:dyDescent="0.25">
      <c r="A301" s="2" t="s">
        <v>1414</v>
      </c>
      <c r="B301" s="2" t="s">
        <v>1413</v>
      </c>
      <c r="C301" s="11">
        <v>19202101329</v>
      </c>
      <c r="D301" s="2">
        <v>3.3</v>
      </c>
      <c r="E301" s="826" t="s">
        <v>419</v>
      </c>
    </row>
    <row r="302" spans="1:5" x14ac:dyDescent="0.25">
      <c r="A302" s="2" t="s">
        <v>1414</v>
      </c>
      <c r="B302" s="2" t="s">
        <v>1413</v>
      </c>
      <c r="C302" s="11">
        <v>19202101341</v>
      </c>
      <c r="D302" s="2">
        <v>2.39</v>
      </c>
      <c r="E302" s="643" t="s">
        <v>420</v>
      </c>
    </row>
    <row r="303" spans="1:5" x14ac:dyDescent="0.25">
      <c r="A303" s="2" t="s">
        <v>1414</v>
      </c>
      <c r="B303" s="2" t="s">
        <v>1413</v>
      </c>
      <c r="C303" s="11">
        <v>19202101361</v>
      </c>
      <c r="D303" s="2">
        <v>2.25</v>
      </c>
      <c r="E303" s="643" t="s">
        <v>420</v>
      </c>
    </row>
    <row r="304" spans="1:5" x14ac:dyDescent="0.25">
      <c r="A304" s="2" t="s">
        <v>1414</v>
      </c>
      <c r="B304" s="2" t="s">
        <v>1413</v>
      </c>
      <c r="C304" s="11">
        <v>19202101365</v>
      </c>
      <c r="D304" s="2">
        <v>2.15</v>
      </c>
      <c r="E304" s="643" t="s">
        <v>420</v>
      </c>
    </row>
    <row r="305" spans="1:5" x14ac:dyDescent="0.25">
      <c r="A305" s="2" t="s">
        <v>1414</v>
      </c>
      <c r="B305" s="2" t="s">
        <v>1413</v>
      </c>
      <c r="C305" s="11">
        <v>19202101349</v>
      </c>
      <c r="D305" s="2">
        <v>2.14</v>
      </c>
      <c r="E305" s="643" t="s">
        <v>420</v>
      </c>
    </row>
    <row r="306" spans="1:5" x14ac:dyDescent="0.25">
      <c r="A306" s="2" t="s">
        <v>1414</v>
      </c>
      <c r="B306" s="2" t="s">
        <v>1415</v>
      </c>
      <c r="C306" s="11">
        <v>19202101337</v>
      </c>
      <c r="D306" s="30">
        <v>4.3</v>
      </c>
      <c r="E306" s="826" t="s">
        <v>419</v>
      </c>
    </row>
    <row r="307" spans="1:5" x14ac:dyDescent="0.25">
      <c r="A307" s="2" t="s">
        <v>1414</v>
      </c>
      <c r="B307" s="2" t="s">
        <v>1415</v>
      </c>
      <c r="C307" s="11">
        <v>19202101359</v>
      </c>
      <c r="D307" s="30">
        <v>3.92</v>
      </c>
      <c r="E307" s="826" t="s">
        <v>419</v>
      </c>
    </row>
    <row r="308" spans="1:5" x14ac:dyDescent="0.25">
      <c r="A308" s="843" t="s">
        <v>1503</v>
      </c>
      <c r="B308" s="843" t="s">
        <v>1330</v>
      </c>
      <c r="C308" s="11">
        <v>19202200052</v>
      </c>
      <c r="D308" s="843">
        <v>0.36</v>
      </c>
      <c r="E308" s="826" t="s">
        <v>419</v>
      </c>
    </row>
    <row r="309" spans="1:5" x14ac:dyDescent="0.25">
      <c r="A309" s="843" t="s">
        <v>1503</v>
      </c>
      <c r="B309" s="843" t="s">
        <v>1330</v>
      </c>
      <c r="C309" s="11">
        <v>19202200049</v>
      </c>
      <c r="D309" s="843">
        <v>0.32</v>
      </c>
      <c r="E309" s="826" t="s">
        <v>419</v>
      </c>
    </row>
    <row r="310" spans="1:5" x14ac:dyDescent="0.25">
      <c r="A310" s="843" t="s">
        <v>1503</v>
      </c>
      <c r="B310" s="843" t="s">
        <v>1330</v>
      </c>
      <c r="C310" s="11">
        <v>19202200051</v>
      </c>
      <c r="D310" s="843">
        <v>0.28000000000000003</v>
      </c>
      <c r="E310" s="826" t="s">
        <v>419</v>
      </c>
    </row>
    <row r="311" spans="1:5" x14ac:dyDescent="0.25">
      <c r="A311" s="843" t="s">
        <v>1503</v>
      </c>
      <c r="B311" s="843" t="s">
        <v>1330</v>
      </c>
      <c r="C311" s="11">
        <v>19202200053</v>
      </c>
      <c r="D311" s="843">
        <v>0.26</v>
      </c>
      <c r="E311" s="826" t="s">
        <v>419</v>
      </c>
    </row>
  </sheetData>
  <mergeCells count="1">
    <mergeCell ref="A1:E1"/>
  </mergeCells>
  <hyperlinks>
    <hyperlink ref="C172" r:id="rId1" location="/router?komponent=taotlus&amp;id=597943&amp;kuva=ava" display="https://pms.arib.pria.ee/pms-menetlus/ - /router?komponent=taotlus&amp;id=597943&amp;kuva=ava"/>
    <hyperlink ref="C173" r:id="rId2" location="/router?komponent=taotlus&amp;id=598094&amp;kuva=ava" display="https://pms.arib.pria.ee/pms-menetlus/ - /router?komponent=taotlus&amp;id=598094&amp;kuva=ava"/>
    <hyperlink ref="C174" r:id="rId3" location="/router?komponent=taotlus&amp;id=598001&amp;kuva=ava" display="https://pms.arib.pria.ee/pms-menetlus/ - /router?komponent=taotlus&amp;id=598001&amp;kuva=ava"/>
    <hyperlink ref="C175" r:id="rId4" location="/router?komponent=taotlus&amp;id=602176&amp;kuva=ava" display="https://pms.arib.pria.ee/pms-menetlus/ - /router?komponent=taotlus&amp;id=602176&amp;kuva=ava"/>
    <hyperlink ref="C176" r:id="rId5" location="/router?komponent=taotlus&amp;id=599274&amp;kuva=ava" display="https://pms.arib.pria.ee/pms-menetlus/ - /router?komponent=taotlus&amp;id=599274&amp;kuva=ava"/>
    <hyperlink ref="C177" r:id="rId6" location="/router?komponent=taotlus&amp;id=598061&amp;kuva=ava" display="https://pms.arib.pria.ee/pms-menetlus/ - /router?komponent=taotlus&amp;id=598061&amp;kuva=ava"/>
    <hyperlink ref="C178" r:id="rId7" location="/router?komponent=taotlus&amp;id=598092&amp;kuva=ava" display="https://pms.arib.pria.ee/pms-menetlus/ - /router?komponent=taotlus&amp;id=598092&amp;kuva=ava"/>
    <hyperlink ref="C179" r:id="rId8" location="/router?komponent=taotlus&amp;id=604701&amp;kuva=ava" display="https://pms.arib.pria.ee/pms-menetlus/ - /router?komponent=taotlus&amp;id=604701&amp;kuva=ava"/>
    <hyperlink ref="C180" r:id="rId9" location="/router?komponent=taotlus&amp;id=602567&amp;kuva=ava" display="https://pms.arib.pria.ee/pms-menetlus/ - /router?komponent=taotlus&amp;id=602567&amp;kuva=ava"/>
    <hyperlink ref="C181" r:id="rId10" location="/router?komponent=taotlus&amp;id=603014&amp;kuva=ava" display="https://pms.arib.pria.ee/pms-menetlus/ - /router?komponent=taotlus&amp;id=603014&amp;kuva=ava"/>
    <hyperlink ref="C182" r:id="rId11" location="/router?komponent=taotlus&amp;id=604705&amp;kuva=ava" display="https://pms.arib.pria.ee/pms-menetlus/ - /router?komponent=taotlus&amp;id=604705&amp;kuva=ava"/>
    <hyperlink ref="C183" r:id="rId12" location="/router?komponent=taotlus&amp;id=603638&amp;kuva=ava" display="https://pms.arib.pria.ee/pms-menetlus/ - /router?komponent=taotlus&amp;id=603638&amp;kuva=ava"/>
    <hyperlink ref="C184" r:id="rId13" location="/router?komponent=taotlus&amp;id=604404&amp;kuva=ava" display="https://pms.arib.pria.ee/pms-menetlus/ - /router?komponent=taotlus&amp;id=604404&amp;kuva=ava"/>
    <hyperlink ref="C185" r:id="rId14" location="/router?komponent=taotlus&amp;id=606214&amp;kuva=ava" display="https://pms.arib.pria.ee/pms-menetlus/ - /router?komponent=taotlus&amp;id=606214&amp;kuva=ava"/>
    <hyperlink ref="C186" r:id="rId15" location="/router?komponent=taotlus&amp;id=599341&amp;kuva=ava" display="https://pms.arib.pria.ee/pms-menetlus/ - /router?komponent=taotlus&amp;id=599341&amp;kuva=ava"/>
    <hyperlink ref="C187" r:id="rId16" location="/router?komponent=taotlus&amp;id=599228&amp;kuva=ava" display="https://pms.arib.pria.ee/pms-menetlus/ - /router?komponent=taotlus&amp;id=599228&amp;kuva=ava"/>
    <hyperlink ref="C188" r:id="rId17" location="/router?komponent=taotlus&amp;id=601136&amp;kuva=ava" display="https://pms.arib.pria.ee/pms-menetlus/ - /router?komponent=taotlus&amp;id=601136&amp;kuva=ava"/>
    <hyperlink ref="C189" r:id="rId18" location="/router?komponent=taotlus&amp;id=598442&amp;kuva=ava" display="https://pms.arib.pria.ee/pms-menetlus/ - /router?komponent=taotlus&amp;id=598442&amp;kuva=ava"/>
    <hyperlink ref="C190" r:id="rId19" location="/router?komponent=taotlus&amp;id=598494&amp;kuva=ava" display="https://pms.arib.pria.ee/pms-menetlus/ - /router?komponent=taotlus&amp;id=598494&amp;kuva=ava"/>
    <hyperlink ref="C191" r:id="rId20" location="/router?komponent=taotlus&amp;id=600262&amp;kuva=ava" display="https://pms.arib.pria.ee/pms-menetlus/ - /router?komponent=taotlus&amp;id=600262&amp;kuva=ava"/>
    <hyperlink ref="C192" r:id="rId21" location="/router?komponent=taotlus&amp;id=600441&amp;kuva=ava" display="https://pms.arib.pria.ee/pms-menetlus/ - /router?komponent=taotlus&amp;id=600441&amp;kuva=ava"/>
  </hyperlinks>
  <pageMargins left="0.7" right="0.7" top="0.75" bottom="0.75" header="0.3" footer="0.3"/>
  <pageSetup paperSize="9" orientation="portrait" r:id="rId22"/>
  <ignoredErrors>
    <ignoredError sqref="C6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8"/>
  <sheetViews>
    <sheetView topLeftCell="A377" workbookViewId="0">
      <selection activeCell="S390" sqref="S390"/>
    </sheetView>
  </sheetViews>
  <sheetFormatPr defaultRowHeight="15" x14ac:dyDescent="0.25"/>
  <cols>
    <col min="1" max="1" width="21.140625" bestFit="1" customWidth="1"/>
    <col min="2" max="2" width="57.42578125" customWidth="1"/>
    <col min="3" max="3" width="17.140625" customWidth="1"/>
    <col min="4" max="4" width="13.140625" bestFit="1" customWidth="1"/>
    <col min="5" max="5" width="19.85546875" customWidth="1"/>
  </cols>
  <sheetData>
    <row r="1" spans="1:5" x14ac:dyDescent="0.25">
      <c r="A1" s="858" t="s">
        <v>28</v>
      </c>
      <c r="B1" s="859"/>
      <c r="C1" s="859"/>
      <c r="D1" s="859"/>
      <c r="E1" s="860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290</v>
      </c>
      <c r="B3" s="36" t="s">
        <v>291</v>
      </c>
      <c r="C3" s="48" t="s">
        <v>292</v>
      </c>
      <c r="D3" s="38">
        <v>25.6</v>
      </c>
      <c r="E3" s="39" t="s">
        <v>419</v>
      </c>
    </row>
    <row r="4" spans="1:5" x14ac:dyDescent="0.25">
      <c r="A4" s="60" t="s">
        <v>290</v>
      </c>
      <c r="B4" s="11" t="s">
        <v>291</v>
      </c>
      <c r="C4" s="5" t="s">
        <v>293</v>
      </c>
      <c r="D4" s="9">
        <v>24.85</v>
      </c>
      <c r="E4" s="41" t="s">
        <v>419</v>
      </c>
    </row>
    <row r="5" spans="1:5" x14ac:dyDescent="0.25">
      <c r="A5" s="60" t="s">
        <v>290</v>
      </c>
      <c r="B5" s="11" t="s">
        <v>291</v>
      </c>
      <c r="C5" s="5" t="s">
        <v>295</v>
      </c>
      <c r="D5" s="9">
        <v>24.85</v>
      </c>
      <c r="E5" s="41" t="s">
        <v>419</v>
      </c>
    </row>
    <row r="6" spans="1:5" x14ac:dyDescent="0.25">
      <c r="A6" s="60" t="s">
        <v>290</v>
      </c>
      <c r="B6" s="11" t="s">
        <v>291</v>
      </c>
      <c r="C6" s="5" t="s">
        <v>296</v>
      </c>
      <c r="D6" s="9">
        <v>23.5</v>
      </c>
      <c r="E6" s="41" t="s">
        <v>419</v>
      </c>
    </row>
    <row r="7" spans="1:5" x14ac:dyDescent="0.25">
      <c r="A7" s="60" t="s">
        <v>290</v>
      </c>
      <c r="B7" s="11" t="s">
        <v>291</v>
      </c>
      <c r="C7" s="5" t="s">
        <v>298</v>
      </c>
      <c r="D7" s="9">
        <v>23.25</v>
      </c>
      <c r="E7" s="41" t="s">
        <v>419</v>
      </c>
    </row>
    <row r="8" spans="1:5" x14ac:dyDescent="0.25">
      <c r="A8" s="60" t="s">
        <v>290</v>
      </c>
      <c r="B8" s="11" t="s">
        <v>291</v>
      </c>
      <c r="C8" s="5" t="s">
        <v>300</v>
      </c>
      <c r="D8" s="9">
        <v>22.65</v>
      </c>
      <c r="E8" s="41" t="s">
        <v>419</v>
      </c>
    </row>
    <row r="9" spans="1:5" x14ac:dyDescent="0.25">
      <c r="A9" s="60" t="s">
        <v>290</v>
      </c>
      <c r="B9" s="11" t="s">
        <v>291</v>
      </c>
      <c r="C9" s="5" t="s">
        <v>302</v>
      </c>
      <c r="D9" s="9">
        <v>22.35</v>
      </c>
      <c r="E9" s="41" t="s">
        <v>419</v>
      </c>
    </row>
    <row r="10" spans="1:5" x14ac:dyDescent="0.25">
      <c r="A10" s="60" t="s">
        <v>290</v>
      </c>
      <c r="B10" s="11" t="s">
        <v>291</v>
      </c>
      <c r="C10" s="5" t="s">
        <v>304</v>
      </c>
      <c r="D10" s="9">
        <v>21.85</v>
      </c>
      <c r="E10" s="41" t="s">
        <v>419</v>
      </c>
    </row>
    <row r="11" spans="1:5" x14ac:dyDescent="0.25">
      <c r="A11" s="60" t="s">
        <v>290</v>
      </c>
      <c r="B11" s="11" t="s">
        <v>291</v>
      </c>
      <c r="C11" s="5" t="s">
        <v>303</v>
      </c>
      <c r="D11" s="9">
        <v>21.35</v>
      </c>
      <c r="E11" s="41" t="s">
        <v>419</v>
      </c>
    </row>
    <row r="12" spans="1:5" x14ac:dyDescent="0.25">
      <c r="A12" s="60" t="s">
        <v>290</v>
      </c>
      <c r="B12" s="11" t="s">
        <v>291</v>
      </c>
      <c r="C12" s="5" t="s">
        <v>306</v>
      </c>
      <c r="D12" s="9">
        <v>21.2</v>
      </c>
      <c r="E12" s="41" t="s">
        <v>419</v>
      </c>
    </row>
    <row r="13" spans="1:5" x14ac:dyDescent="0.25">
      <c r="A13" s="60" t="s">
        <v>290</v>
      </c>
      <c r="B13" s="11" t="s">
        <v>291</v>
      </c>
      <c r="C13" s="5" t="s">
        <v>299</v>
      </c>
      <c r="D13" s="9">
        <v>20.9</v>
      </c>
      <c r="E13" s="41" t="s">
        <v>419</v>
      </c>
    </row>
    <row r="14" spans="1:5" x14ac:dyDescent="0.25">
      <c r="A14" s="60" t="s">
        <v>466</v>
      </c>
      <c r="B14" s="11" t="s">
        <v>291</v>
      </c>
      <c r="C14" s="5" t="str">
        <f>"619216440270"</f>
        <v>619216440270</v>
      </c>
      <c r="D14" s="9">
        <v>20.8</v>
      </c>
      <c r="E14" s="66" t="s">
        <v>420</v>
      </c>
    </row>
    <row r="15" spans="1:5" x14ac:dyDescent="0.25">
      <c r="A15" s="60" t="s">
        <v>290</v>
      </c>
      <c r="B15" s="11" t="s">
        <v>291</v>
      </c>
      <c r="C15" s="5" t="s">
        <v>301</v>
      </c>
      <c r="D15" s="9">
        <v>20.75</v>
      </c>
      <c r="E15" s="41" t="s">
        <v>419</v>
      </c>
    </row>
    <row r="16" spans="1:5" x14ac:dyDescent="0.25">
      <c r="A16" s="60" t="s">
        <v>290</v>
      </c>
      <c r="B16" s="11" t="s">
        <v>291</v>
      </c>
      <c r="C16" s="5" t="s">
        <v>294</v>
      </c>
      <c r="D16" s="9">
        <v>20.45</v>
      </c>
      <c r="E16" s="41" t="s">
        <v>419</v>
      </c>
    </row>
    <row r="17" spans="1:8" x14ac:dyDescent="0.25">
      <c r="A17" s="60" t="s">
        <v>290</v>
      </c>
      <c r="B17" s="11" t="s">
        <v>291</v>
      </c>
      <c r="C17" s="5" t="s">
        <v>297</v>
      </c>
      <c r="D17" s="9">
        <v>20.05</v>
      </c>
      <c r="E17" s="41" t="s">
        <v>419</v>
      </c>
    </row>
    <row r="18" spans="1:8" x14ac:dyDescent="0.25">
      <c r="A18" s="60" t="s">
        <v>290</v>
      </c>
      <c r="B18" s="11" t="s">
        <v>291</v>
      </c>
      <c r="C18" s="5" t="s">
        <v>305</v>
      </c>
      <c r="D18" s="9">
        <v>19.850000000000001</v>
      </c>
      <c r="E18" s="41" t="s">
        <v>419</v>
      </c>
    </row>
    <row r="19" spans="1:8" x14ac:dyDescent="0.25">
      <c r="A19" s="50" t="s">
        <v>290</v>
      </c>
      <c r="B19" s="11" t="s">
        <v>291</v>
      </c>
      <c r="C19" s="5" t="s">
        <v>307</v>
      </c>
      <c r="D19" s="9">
        <v>19.75</v>
      </c>
      <c r="E19" s="66" t="s">
        <v>420</v>
      </c>
    </row>
    <row r="20" spans="1:8" x14ac:dyDescent="0.25">
      <c r="A20" s="50" t="s">
        <v>290</v>
      </c>
      <c r="B20" s="11" t="s">
        <v>291</v>
      </c>
      <c r="C20" s="5" t="s">
        <v>308</v>
      </c>
      <c r="D20" s="9">
        <v>19.649999999999999</v>
      </c>
      <c r="E20" s="66" t="s">
        <v>420</v>
      </c>
    </row>
    <row r="21" spans="1:8" x14ac:dyDescent="0.25">
      <c r="A21" s="50" t="s">
        <v>290</v>
      </c>
      <c r="B21" s="11" t="s">
        <v>291</v>
      </c>
      <c r="C21" s="5" t="s">
        <v>309</v>
      </c>
      <c r="D21" s="9">
        <v>19.649999999999999</v>
      </c>
      <c r="E21" s="66" t="s">
        <v>420</v>
      </c>
    </row>
    <row r="22" spans="1:8" x14ac:dyDescent="0.25">
      <c r="A22" s="50" t="s">
        <v>290</v>
      </c>
      <c r="B22" s="11" t="s">
        <v>291</v>
      </c>
      <c r="C22" s="5" t="s">
        <v>313</v>
      </c>
      <c r="D22" s="9">
        <v>19.25</v>
      </c>
      <c r="E22" s="66" t="s">
        <v>420</v>
      </c>
    </row>
    <row r="23" spans="1:8" x14ac:dyDescent="0.25">
      <c r="A23" s="50" t="s">
        <v>290</v>
      </c>
      <c r="B23" s="11" t="s">
        <v>291</v>
      </c>
      <c r="C23" s="5" t="s">
        <v>310</v>
      </c>
      <c r="D23" s="9">
        <v>18.2</v>
      </c>
      <c r="E23" s="66" t="s">
        <v>420</v>
      </c>
    </row>
    <row r="24" spans="1:8" x14ac:dyDescent="0.25">
      <c r="A24" s="50" t="s">
        <v>290</v>
      </c>
      <c r="B24" s="11" t="s">
        <v>291</v>
      </c>
      <c r="C24" s="5" t="s">
        <v>311</v>
      </c>
      <c r="D24" s="9">
        <v>15.75</v>
      </c>
      <c r="E24" s="66" t="s">
        <v>420</v>
      </c>
    </row>
    <row r="25" spans="1:8" x14ac:dyDescent="0.25">
      <c r="A25" s="50" t="s">
        <v>290</v>
      </c>
      <c r="B25" s="11" t="s">
        <v>291</v>
      </c>
      <c r="C25" s="5" t="s">
        <v>314</v>
      </c>
      <c r="D25" s="9">
        <v>13.65</v>
      </c>
      <c r="E25" s="66" t="s">
        <v>420</v>
      </c>
    </row>
    <row r="26" spans="1:8" ht="15.75" thickBot="1" x14ac:dyDescent="0.3">
      <c r="A26" s="42" t="s">
        <v>290</v>
      </c>
      <c r="B26" s="43" t="s">
        <v>291</v>
      </c>
      <c r="C26" s="44" t="s">
        <v>312</v>
      </c>
      <c r="D26" s="45">
        <v>13.45</v>
      </c>
      <c r="E26" s="119" t="s">
        <v>420</v>
      </c>
    </row>
    <row r="27" spans="1:8" x14ac:dyDescent="0.25">
      <c r="A27" s="14" t="s">
        <v>640</v>
      </c>
      <c r="B27" s="181" t="s">
        <v>643</v>
      </c>
      <c r="C27" s="14" t="str">
        <f>"619216441609"</f>
        <v>619216441609</v>
      </c>
      <c r="D27" s="311">
        <v>30.4</v>
      </c>
      <c r="E27" s="306" t="s">
        <v>419</v>
      </c>
      <c r="F27" s="305"/>
      <c r="G27" s="6"/>
      <c r="H27" s="6"/>
    </row>
    <row r="28" spans="1:8" x14ac:dyDescent="0.25">
      <c r="A28" s="14" t="s">
        <v>640</v>
      </c>
      <c r="B28" s="181" t="s">
        <v>643</v>
      </c>
      <c r="C28" s="14" t="str">
        <f>"619216441626"</f>
        <v>619216441626</v>
      </c>
      <c r="D28" s="311">
        <v>30.1</v>
      </c>
      <c r="E28" s="306" t="s">
        <v>419</v>
      </c>
      <c r="F28" s="305"/>
      <c r="G28" s="6"/>
      <c r="H28" s="6"/>
    </row>
    <row r="29" spans="1:8" x14ac:dyDescent="0.25">
      <c r="A29" s="14" t="s">
        <v>640</v>
      </c>
      <c r="B29" s="181" t="s">
        <v>643</v>
      </c>
      <c r="C29" s="14" t="str">
        <f>"619216441623"</f>
        <v>619216441623</v>
      </c>
      <c r="D29" s="311">
        <v>29.75</v>
      </c>
      <c r="E29" s="306" t="s">
        <v>419</v>
      </c>
      <c r="F29" s="305"/>
      <c r="G29" s="6"/>
      <c r="H29" s="6"/>
    </row>
    <row r="30" spans="1:8" x14ac:dyDescent="0.25">
      <c r="A30" s="14" t="s">
        <v>640</v>
      </c>
      <c r="B30" s="181" t="s">
        <v>643</v>
      </c>
      <c r="C30" s="14" t="str">
        <f>"619216441634"</f>
        <v>619216441634</v>
      </c>
      <c r="D30" s="311">
        <v>29.3</v>
      </c>
      <c r="E30" s="306" t="s">
        <v>419</v>
      </c>
      <c r="F30" s="305"/>
      <c r="G30" s="6"/>
      <c r="H30" s="6"/>
    </row>
    <row r="31" spans="1:8" x14ac:dyDescent="0.25">
      <c r="A31" s="14" t="s">
        <v>640</v>
      </c>
      <c r="B31" s="181" t="s">
        <v>643</v>
      </c>
      <c r="C31" s="14" t="str">
        <f>"619216441606"</f>
        <v>619216441606</v>
      </c>
      <c r="D31" s="311">
        <v>28.15</v>
      </c>
      <c r="E31" s="306" t="s">
        <v>419</v>
      </c>
      <c r="F31" s="305"/>
      <c r="G31" s="6"/>
      <c r="H31" s="6"/>
    </row>
    <row r="32" spans="1:8" x14ac:dyDescent="0.25">
      <c r="A32" s="14" t="s">
        <v>640</v>
      </c>
      <c r="B32" s="181" t="s">
        <v>643</v>
      </c>
      <c r="C32" s="14" t="str">
        <f>"619216441601"</f>
        <v>619216441601</v>
      </c>
      <c r="D32" s="311">
        <v>28.1</v>
      </c>
      <c r="E32" s="306" t="s">
        <v>419</v>
      </c>
      <c r="F32" s="305"/>
      <c r="G32" s="6"/>
      <c r="H32" s="6"/>
    </row>
    <row r="33" spans="1:8" x14ac:dyDescent="0.25">
      <c r="A33" s="14" t="s">
        <v>640</v>
      </c>
      <c r="B33" s="181" t="s">
        <v>643</v>
      </c>
      <c r="C33" s="14" t="str">
        <f>"619216441635"</f>
        <v>619216441635</v>
      </c>
      <c r="D33" s="311">
        <v>27.95</v>
      </c>
      <c r="E33" s="306" t="s">
        <v>419</v>
      </c>
      <c r="F33" s="305"/>
      <c r="G33" s="6"/>
      <c r="H33" s="6"/>
    </row>
    <row r="34" spans="1:8" x14ac:dyDescent="0.25">
      <c r="A34" s="14" t="s">
        <v>640</v>
      </c>
      <c r="B34" s="181" t="s">
        <v>643</v>
      </c>
      <c r="C34" s="14" t="str">
        <f>"619216441630"</f>
        <v>619216441630</v>
      </c>
      <c r="D34" s="311">
        <v>27.8</v>
      </c>
      <c r="E34" s="306" t="s">
        <v>419</v>
      </c>
      <c r="F34" s="305"/>
      <c r="G34" s="6"/>
      <c r="H34" s="6"/>
    </row>
    <row r="35" spans="1:8" x14ac:dyDescent="0.25">
      <c r="A35" s="14" t="s">
        <v>640</v>
      </c>
      <c r="B35" s="181" t="s">
        <v>643</v>
      </c>
      <c r="C35" s="14" t="str">
        <f>"619216441610"</f>
        <v>619216441610</v>
      </c>
      <c r="D35" s="311">
        <v>27.75</v>
      </c>
      <c r="E35" s="306" t="s">
        <v>419</v>
      </c>
      <c r="F35" s="305"/>
      <c r="G35" s="6"/>
      <c r="H35" s="6"/>
    </row>
    <row r="36" spans="1:8" x14ac:dyDescent="0.25">
      <c r="A36" s="14" t="s">
        <v>640</v>
      </c>
      <c r="B36" s="181" t="s">
        <v>643</v>
      </c>
      <c r="C36" s="14" t="str">
        <f>"619216441621"</f>
        <v>619216441621</v>
      </c>
      <c r="D36" s="311">
        <v>27.75</v>
      </c>
      <c r="E36" s="306" t="s">
        <v>419</v>
      </c>
      <c r="F36" s="305"/>
      <c r="G36" s="6"/>
      <c r="H36" s="6"/>
    </row>
    <row r="37" spans="1:8" x14ac:dyDescent="0.25">
      <c r="A37" s="14" t="s">
        <v>640</v>
      </c>
      <c r="B37" s="181" t="s">
        <v>643</v>
      </c>
      <c r="C37" s="14" t="str">
        <f>"619216441615"</f>
        <v>619216441615</v>
      </c>
      <c r="D37" s="311">
        <v>27.6</v>
      </c>
      <c r="E37" s="306" t="s">
        <v>419</v>
      </c>
      <c r="F37" s="305"/>
      <c r="G37" s="6"/>
      <c r="H37" s="6"/>
    </row>
    <row r="38" spans="1:8" x14ac:dyDescent="0.25">
      <c r="A38" s="14" t="s">
        <v>640</v>
      </c>
      <c r="B38" s="181" t="s">
        <v>643</v>
      </c>
      <c r="C38" s="14" t="str">
        <f>"619216441642"</f>
        <v>619216441642</v>
      </c>
      <c r="D38" s="311">
        <v>27.4</v>
      </c>
      <c r="E38" s="306" t="s">
        <v>419</v>
      </c>
      <c r="F38" s="305"/>
      <c r="G38" s="6"/>
      <c r="H38" s="6"/>
    </row>
    <row r="39" spans="1:8" x14ac:dyDescent="0.25">
      <c r="A39" s="14" t="s">
        <v>640</v>
      </c>
      <c r="B39" s="181" t="s">
        <v>643</v>
      </c>
      <c r="C39" s="14" t="str">
        <f>"619216441620"</f>
        <v>619216441620</v>
      </c>
      <c r="D39" s="311">
        <v>26.4</v>
      </c>
      <c r="E39" s="306" t="s">
        <v>419</v>
      </c>
      <c r="F39" s="305"/>
      <c r="G39" s="6"/>
      <c r="H39" s="6"/>
    </row>
    <row r="40" spans="1:8" x14ac:dyDescent="0.25">
      <c r="A40" s="14" t="s">
        <v>640</v>
      </c>
      <c r="B40" s="181" t="s">
        <v>643</v>
      </c>
      <c r="C40" s="14" t="str">
        <f>"619216441632"</f>
        <v>619216441632</v>
      </c>
      <c r="D40" s="311">
        <v>26.3</v>
      </c>
      <c r="E40" s="306" t="s">
        <v>419</v>
      </c>
      <c r="F40" s="305"/>
      <c r="G40" s="6"/>
      <c r="H40" s="6"/>
    </row>
    <row r="41" spans="1:8" x14ac:dyDescent="0.25">
      <c r="A41" s="14" t="s">
        <v>640</v>
      </c>
      <c r="B41" s="181" t="s">
        <v>643</v>
      </c>
      <c r="C41" s="14" t="str">
        <f>"619216441629"</f>
        <v>619216441629</v>
      </c>
      <c r="D41" s="311">
        <v>23.5</v>
      </c>
      <c r="E41" s="306" t="s">
        <v>419</v>
      </c>
      <c r="F41" s="305"/>
      <c r="G41" s="6"/>
      <c r="H41" s="6"/>
    </row>
    <row r="42" spans="1:8" x14ac:dyDescent="0.25">
      <c r="A42" s="14" t="s">
        <v>640</v>
      </c>
      <c r="B42" s="181" t="s">
        <v>643</v>
      </c>
      <c r="C42" s="14" t="str">
        <f>"619216441628"</f>
        <v>619216441628</v>
      </c>
      <c r="D42" s="311">
        <v>26</v>
      </c>
      <c r="E42" s="306" t="s">
        <v>419</v>
      </c>
      <c r="F42" s="305"/>
      <c r="G42" s="6"/>
      <c r="H42" s="6"/>
    </row>
    <row r="43" spans="1:8" x14ac:dyDescent="0.25">
      <c r="A43" s="14" t="s">
        <v>640</v>
      </c>
      <c r="B43" s="181" t="s">
        <v>643</v>
      </c>
      <c r="C43" s="14" t="str">
        <f>"619216441600"</f>
        <v>619216441600</v>
      </c>
      <c r="D43" s="311">
        <v>25.45</v>
      </c>
      <c r="E43" s="306" t="s">
        <v>419</v>
      </c>
      <c r="F43" s="305"/>
      <c r="G43" s="6"/>
      <c r="H43" s="6"/>
    </row>
    <row r="44" spans="1:8" x14ac:dyDescent="0.25">
      <c r="A44" s="14" t="s">
        <v>640</v>
      </c>
      <c r="B44" s="181" t="s">
        <v>643</v>
      </c>
      <c r="C44" s="14" t="str">
        <f>"619216441599"</f>
        <v>619216441599</v>
      </c>
      <c r="D44" s="311">
        <v>22.65</v>
      </c>
      <c r="E44" s="306" t="s">
        <v>419</v>
      </c>
      <c r="F44" s="305"/>
      <c r="G44" s="6"/>
      <c r="H44" s="6"/>
    </row>
    <row r="45" spans="1:8" x14ac:dyDescent="0.25">
      <c r="A45" s="14" t="s">
        <v>640</v>
      </c>
      <c r="B45" s="181" t="s">
        <v>643</v>
      </c>
      <c r="C45" s="14" t="str">
        <f>"619216441608"</f>
        <v>619216441608</v>
      </c>
      <c r="D45" s="311">
        <v>24.6</v>
      </c>
      <c r="E45" s="306" t="s">
        <v>419</v>
      </c>
      <c r="F45" s="305"/>
      <c r="G45" s="6"/>
      <c r="H45" s="6"/>
    </row>
    <row r="46" spans="1:8" x14ac:dyDescent="0.25">
      <c r="A46" s="14" t="s">
        <v>640</v>
      </c>
      <c r="B46" s="181" t="s">
        <v>643</v>
      </c>
      <c r="C46" s="14" t="str">
        <f>"619216441640"</f>
        <v>619216441640</v>
      </c>
      <c r="D46" s="311">
        <v>24.3</v>
      </c>
      <c r="E46" s="306" t="s">
        <v>419</v>
      </c>
      <c r="F46" s="305"/>
      <c r="G46" s="6"/>
      <c r="H46" s="6"/>
    </row>
    <row r="47" spans="1:8" x14ac:dyDescent="0.25">
      <c r="A47" s="14" t="s">
        <v>640</v>
      </c>
      <c r="B47" s="181" t="s">
        <v>643</v>
      </c>
      <c r="C47" s="14" t="str">
        <f>"619216441627"</f>
        <v>619216441627</v>
      </c>
      <c r="D47" s="311">
        <v>23.95</v>
      </c>
      <c r="E47" s="306" t="s">
        <v>419</v>
      </c>
      <c r="F47" s="305"/>
      <c r="G47" s="6"/>
      <c r="H47" s="6"/>
    </row>
    <row r="48" spans="1:8" x14ac:dyDescent="0.25">
      <c r="A48" s="14" t="s">
        <v>640</v>
      </c>
      <c r="B48" s="181" t="s">
        <v>643</v>
      </c>
      <c r="C48" s="14" t="str">
        <f>"619216441638"</f>
        <v>619216441638</v>
      </c>
      <c r="D48" s="311">
        <v>23.8</v>
      </c>
      <c r="E48" s="306" t="s">
        <v>419</v>
      </c>
      <c r="F48" s="305"/>
      <c r="G48" s="6"/>
      <c r="H48" s="6"/>
    </row>
    <row r="49" spans="1:8" x14ac:dyDescent="0.25">
      <c r="A49" s="14" t="s">
        <v>640</v>
      </c>
      <c r="B49" s="181" t="s">
        <v>643</v>
      </c>
      <c r="C49" s="14" t="str">
        <f>"619216591646"</f>
        <v>619216591646</v>
      </c>
      <c r="D49" s="311">
        <v>23.45</v>
      </c>
      <c r="E49" s="306" t="s">
        <v>419</v>
      </c>
      <c r="F49" s="305"/>
      <c r="G49" s="6"/>
      <c r="H49" s="6"/>
    </row>
    <row r="50" spans="1:8" x14ac:dyDescent="0.25">
      <c r="A50" s="14" t="s">
        <v>640</v>
      </c>
      <c r="B50" s="181" t="s">
        <v>643</v>
      </c>
      <c r="C50" s="14" t="str">
        <f>"619216441649"</f>
        <v>619216441649</v>
      </c>
      <c r="D50" s="311">
        <v>23.4</v>
      </c>
      <c r="E50" s="306" t="s">
        <v>419</v>
      </c>
      <c r="F50" s="305"/>
      <c r="G50" s="6"/>
      <c r="H50" s="6"/>
    </row>
    <row r="51" spans="1:8" x14ac:dyDescent="0.25">
      <c r="A51" s="14" t="s">
        <v>640</v>
      </c>
      <c r="B51" s="181" t="s">
        <v>643</v>
      </c>
      <c r="C51" s="14" t="str">
        <f>"619216591648"</f>
        <v>619216591648</v>
      </c>
      <c r="D51" s="311">
        <v>22.6</v>
      </c>
      <c r="E51" s="306" t="s">
        <v>419</v>
      </c>
      <c r="F51" s="305"/>
      <c r="G51" s="6"/>
      <c r="H51" s="6"/>
    </row>
    <row r="52" spans="1:8" x14ac:dyDescent="0.25">
      <c r="A52" s="14" t="s">
        <v>640</v>
      </c>
      <c r="B52" s="181" t="s">
        <v>643</v>
      </c>
      <c r="C52" s="14" t="str">
        <f>"619216591612"</f>
        <v>619216591612</v>
      </c>
      <c r="D52" s="311">
        <v>22.7</v>
      </c>
      <c r="E52" s="306" t="s">
        <v>419</v>
      </c>
      <c r="F52" s="305"/>
      <c r="G52" s="6"/>
      <c r="H52" s="6"/>
    </row>
    <row r="53" spans="1:8" x14ac:dyDescent="0.25">
      <c r="A53" s="14" t="s">
        <v>640</v>
      </c>
      <c r="B53" s="181" t="s">
        <v>641</v>
      </c>
      <c r="C53" s="14" t="str">
        <f>"619216441602"</f>
        <v>619216441602</v>
      </c>
      <c r="D53" s="311">
        <v>30</v>
      </c>
      <c r="E53" s="306" t="s">
        <v>419</v>
      </c>
      <c r="F53" s="305"/>
      <c r="G53" s="6"/>
      <c r="H53" s="6"/>
    </row>
    <row r="54" spans="1:8" x14ac:dyDescent="0.25">
      <c r="A54" s="14" t="s">
        <v>640</v>
      </c>
      <c r="B54" s="181" t="s">
        <v>641</v>
      </c>
      <c r="C54" s="14" t="str">
        <f>"619216441637"</f>
        <v>619216441637</v>
      </c>
      <c r="D54" s="311">
        <v>29.2</v>
      </c>
      <c r="E54" s="306" t="s">
        <v>419</v>
      </c>
      <c r="F54" s="305"/>
      <c r="G54" s="6"/>
      <c r="H54" s="6"/>
    </row>
    <row r="55" spans="1:8" x14ac:dyDescent="0.25">
      <c r="A55" s="14" t="s">
        <v>640</v>
      </c>
      <c r="B55" s="181" t="s">
        <v>641</v>
      </c>
      <c r="C55" s="14" t="str">
        <f>"619216441624"</f>
        <v>619216441624</v>
      </c>
      <c r="D55" s="311">
        <v>28.1</v>
      </c>
      <c r="E55" s="306" t="s">
        <v>419</v>
      </c>
      <c r="F55" s="305"/>
      <c r="G55" s="6"/>
      <c r="H55" s="6"/>
    </row>
    <row r="56" spans="1:8" x14ac:dyDescent="0.25">
      <c r="A56" s="14" t="s">
        <v>640</v>
      </c>
      <c r="B56" s="181" t="s">
        <v>641</v>
      </c>
      <c r="C56" s="14" t="str">
        <f>"619216441604"</f>
        <v>619216441604</v>
      </c>
      <c r="D56" s="311">
        <v>27.75</v>
      </c>
      <c r="E56" s="306" t="s">
        <v>419</v>
      </c>
      <c r="F56" s="305"/>
      <c r="G56" s="6"/>
      <c r="H56" s="6"/>
    </row>
    <row r="57" spans="1:8" x14ac:dyDescent="0.25">
      <c r="A57" s="14" t="s">
        <v>640</v>
      </c>
      <c r="B57" s="181" t="s">
        <v>641</v>
      </c>
      <c r="C57" s="14" t="str">
        <f>"619216441633"</f>
        <v>619216441633</v>
      </c>
      <c r="D57" s="311">
        <v>27.05</v>
      </c>
      <c r="E57" s="306" t="s">
        <v>419</v>
      </c>
      <c r="F57" s="305"/>
      <c r="G57" s="6"/>
      <c r="H57" s="6"/>
    </row>
    <row r="58" spans="1:8" x14ac:dyDescent="0.25">
      <c r="A58" s="14" t="s">
        <v>640</v>
      </c>
      <c r="B58" s="181" t="s">
        <v>641</v>
      </c>
      <c r="C58" s="14" t="str">
        <f>"619216441639"</f>
        <v>619216441639</v>
      </c>
      <c r="D58" s="311">
        <v>26.1</v>
      </c>
      <c r="E58" s="306" t="s">
        <v>419</v>
      </c>
      <c r="F58" s="305"/>
      <c r="G58" s="6"/>
      <c r="H58" s="6"/>
    </row>
    <row r="59" spans="1:8" x14ac:dyDescent="0.25">
      <c r="A59" s="14" t="s">
        <v>640</v>
      </c>
      <c r="B59" s="181" t="s">
        <v>641</v>
      </c>
      <c r="C59" s="14" t="str">
        <f>"619216441645"</f>
        <v>619216441645</v>
      </c>
      <c r="D59" s="311">
        <v>26.05</v>
      </c>
      <c r="E59" s="306" t="s">
        <v>419</v>
      </c>
      <c r="F59" s="305"/>
      <c r="G59" s="6"/>
      <c r="H59" s="6"/>
    </row>
    <row r="60" spans="1:8" x14ac:dyDescent="0.25">
      <c r="A60" s="14" t="s">
        <v>640</v>
      </c>
      <c r="B60" s="181" t="s">
        <v>641</v>
      </c>
      <c r="C60" s="14" t="str">
        <f>"619216441631"</f>
        <v>619216441631</v>
      </c>
      <c r="D60" s="311">
        <v>25.75</v>
      </c>
      <c r="E60" s="306" t="s">
        <v>419</v>
      </c>
      <c r="F60" s="305"/>
      <c r="G60" s="6"/>
      <c r="H60" s="6"/>
    </row>
    <row r="61" spans="1:8" x14ac:dyDescent="0.25">
      <c r="A61" s="14" t="s">
        <v>640</v>
      </c>
      <c r="B61" s="181" t="s">
        <v>641</v>
      </c>
      <c r="C61" s="307">
        <v>619216441625</v>
      </c>
      <c r="D61" s="311">
        <v>25.3</v>
      </c>
      <c r="E61" s="306" t="s">
        <v>419</v>
      </c>
      <c r="F61" s="305"/>
      <c r="G61" s="6"/>
      <c r="H61" s="6"/>
    </row>
    <row r="62" spans="1:8" x14ac:dyDescent="0.25">
      <c r="A62" s="14" t="s">
        <v>640</v>
      </c>
      <c r="B62" s="181" t="s">
        <v>641</v>
      </c>
      <c r="C62" s="14" t="str">
        <f>"619216441613"</f>
        <v>619216441613</v>
      </c>
      <c r="D62" s="311">
        <v>25</v>
      </c>
      <c r="E62" s="306" t="s">
        <v>419</v>
      </c>
      <c r="F62" s="305"/>
      <c r="G62" s="6"/>
      <c r="H62" s="6"/>
    </row>
    <row r="63" spans="1:8" x14ac:dyDescent="0.25">
      <c r="A63" s="14" t="s">
        <v>640</v>
      </c>
      <c r="B63" s="181" t="s">
        <v>641</v>
      </c>
      <c r="C63" s="14" t="str">
        <f>"619216441619"</f>
        <v>619216441619</v>
      </c>
      <c r="D63" s="311">
        <v>24.95</v>
      </c>
      <c r="E63" s="306" t="s">
        <v>419</v>
      </c>
      <c r="F63" s="305"/>
      <c r="G63" s="6"/>
      <c r="H63" s="6"/>
    </row>
    <row r="64" spans="1:8" x14ac:dyDescent="0.25">
      <c r="A64" s="14" t="s">
        <v>640</v>
      </c>
      <c r="B64" s="181" t="s">
        <v>641</v>
      </c>
      <c r="C64" s="14" t="str">
        <f>"619216441617"</f>
        <v>619216441617</v>
      </c>
      <c r="D64" s="311">
        <v>24.5</v>
      </c>
      <c r="E64" s="306" t="s">
        <v>419</v>
      </c>
      <c r="F64" s="305"/>
      <c r="G64" s="6"/>
      <c r="H64" s="6"/>
    </row>
    <row r="65" spans="1:8" x14ac:dyDescent="0.25">
      <c r="A65" s="14" t="s">
        <v>640</v>
      </c>
      <c r="B65" s="181" t="s">
        <v>641</v>
      </c>
      <c r="C65" s="14" t="str">
        <f>"619216441603"</f>
        <v>619216441603</v>
      </c>
      <c r="D65" s="311">
        <v>24.5</v>
      </c>
      <c r="E65" s="306" t="s">
        <v>419</v>
      </c>
      <c r="F65" s="305"/>
      <c r="G65" s="6"/>
      <c r="H65" s="6"/>
    </row>
    <row r="66" spans="1:8" x14ac:dyDescent="0.25">
      <c r="A66" s="14" t="s">
        <v>640</v>
      </c>
      <c r="B66" s="181" t="s">
        <v>641</v>
      </c>
      <c r="C66" s="14" t="str">
        <f>"619216441614"</f>
        <v>619216441614</v>
      </c>
      <c r="D66" s="311">
        <v>24.05</v>
      </c>
      <c r="E66" s="306" t="s">
        <v>419</v>
      </c>
      <c r="F66" s="305"/>
      <c r="G66" s="6"/>
      <c r="H66" s="6"/>
    </row>
    <row r="67" spans="1:8" x14ac:dyDescent="0.25">
      <c r="A67" s="14" t="s">
        <v>640</v>
      </c>
      <c r="B67" s="181" t="s">
        <v>641</v>
      </c>
      <c r="C67" s="14" t="str">
        <f>"619216441611"</f>
        <v>619216441611</v>
      </c>
      <c r="D67" s="311">
        <v>24</v>
      </c>
      <c r="E67" s="306" t="s">
        <v>419</v>
      </c>
      <c r="F67" s="305"/>
      <c r="G67" s="6"/>
      <c r="H67" s="6"/>
    </row>
    <row r="68" spans="1:8" x14ac:dyDescent="0.25">
      <c r="A68" s="14" t="s">
        <v>640</v>
      </c>
      <c r="B68" s="181" t="s">
        <v>291</v>
      </c>
      <c r="C68" s="14" t="str">
        <f>"619216371607"</f>
        <v>619216371607</v>
      </c>
      <c r="D68" s="311">
        <v>27.75</v>
      </c>
      <c r="E68" s="306" t="s">
        <v>419</v>
      </c>
      <c r="F68" s="305"/>
      <c r="G68" s="6"/>
      <c r="H68" s="6"/>
    </row>
    <row r="69" spans="1:8" x14ac:dyDescent="0.25">
      <c r="A69" s="14" t="s">
        <v>640</v>
      </c>
      <c r="B69" s="181" t="s">
        <v>291</v>
      </c>
      <c r="C69" s="14" t="str">
        <f>"619216441616"</f>
        <v>619216441616</v>
      </c>
      <c r="D69" s="311">
        <v>27.55</v>
      </c>
      <c r="E69" s="306" t="s">
        <v>419</v>
      </c>
      <c r="F69" s="305"/>
      <c r="G69" s="6"/>
      <c r="H69" s="6"/>
    </row>
    <row r="70" spans="1:8" x14ac:dyDescent="0.25">
      <c r="A70" s="14" t="s">
        <v>640</v>
      </c>
      <c r="B70" s="181" t="s">
        <v>291</v>
      </c>
      <c r="C70" s="14" t="str">
        <f>"619216441644"</f>
        <v>619216441644</v>
      </c>
      <c r="D70" s="311">
        <v>24.3</v>
      </c>
      <c r="E70" s="306" t="s">
        <v>419</v>
      </c>
      <c r="F70" s="305"/>
      <c r="G70" s="6"/>
      <c r="H70" s="6"/>
    </row>
    <row r="71" spans="1:8" x14ac:dyDescent="0.25">
      <c r="A71" s="14" t="s">
        <v>640</v>
      </c>
      <c r="B71" s="181" t="s">
        <v>291</v>
      </c>
      <c r="C71" s="14" t="str">
        <f>"619216441643"</f>
        <v>619216441643</v>
      </c>
      <c r="D71" s="311">
        <v>24.8</v>
      </c>
      <c r="E71" s="306" t="s">
        <v>419</v>
      </c>
      <c r="F71" s="305"/>
      <c r="G71" s="6"/>
      <c r="H71" s="6"/>
    </row>
    <row r="72" spans="1:8" x14ac:dyDescent="0.25">
      <c r="A72" s="14" t="s">
        <v>640</v>
      </c>
      <c r="B72" s="181" t="s">
        <v>291</v>
      </c>
      <c r="C72" s="14" t="str">
        <f>"619216441622"</f>
        <v>619216441622</v>
      </c>
      <c r="D72" s="311">
        <v>22.35</v>
      </c>
      <c r="E72" s="306" t="s">
        <v>419</v>
      </c>
      <c r="F72" s="305"/>
      <c r="G72" s="6"/>
      <c r="H72" s="6"/>
    </row>
    <row r="73" spans="1:8" x14ac:dyDescent="0.25">
      <c r="A73" s="14" t="s">
        <v>640</v>
      </c>
      <c r="B73" s="181" t="s">
        <v>291</v>
      </c>
      <c r="C73" s="14" t="str">
        <f>"619216441641"</f>
        <v>619216441641</v>
      </c>
      <c r="D73" s="311">
        <v>26.4</v>
      </c>
      <c r="E73" s="306" t="s">
        <v>419</v>
      </c>
      <c r="F73" s="305"/>
      <c r="G73" s="6"/>
      <c r="H73" s="6"/>
    </row>
    <row r="74" spans="1:8" x14ac:dyDescent="0.25">
      <c r="A74" s="14" t="s">
        <v>640</v>
      </c>
      <c r="B74" s="181" t="s">
        <v>291</v>
      </c>
      <c r="C74" s="14" t="str">
        <f>"619216441605"</f>
        <v>619216441605</v>
      </c>
      <c r="D74" s="311">
        <v>25.75</v>
      </c>
      <c r="E74" s="306" t="s">
        <v>419</v>
      </c>
      <c r="F74" s="305"/>
      <c r="G74" s="6"/>
      <c r="H74" s="6"/>
    </row>
    <row r="75" spans="1:8" x14ac:dyDescent="0.25">
      <c r="A75" s="14" t="s">
        <v>640</v>
      </c>
      <c r="B75" s="181" t="s">
        <v>291</v>
      </c>
      <c r="C75" s="14" t="str">
        <f>"619216441618"</f>
        <v>619216441618</v>
      </c>
      <c r="D75" s="311">
        <v>25.1</v>
      </c>
      <c r="E75" s="306" t="s">
        <v>419</v>
      </c>
      <c r="F75" s="305"/>
      <c r="G75" s="6"/>
      <c r="H75" s="6"/>
    </row>
    <row r="76" spans="1:8" x14ac:dyDescent="0.25">
      <c r="A76" s="14" t="s">
        <v>640</v>
      </c>
      <c r="B76" s="181" t="s">
        <v>291</v>
      </c>
      <c r="C76" s="14" t="str">
        <f>"619216441636"</f>
        <v>619216441636</v>
      </c>
      <c r="D76" s="311">
        <v>21.25</v>
      </c>
      <c r="E76" s="306" t="s">
        <v>419</v>
      </c>
      <c r="F76" s="305"/>
      <c r="G76" s="6"/>
      <c r="H76" s="6"/>
    </row>
    <row r="77" spans="1:8" x14ac:dyDescent="0.25">
      <c r="A77" s="14" t="s">
        <v>640</v>
      </c>
      <c r="B77" s="181" t="s">
        <v>291</v>
      </c>
      <c r="C77" s="307">
        <v>619216441647</v>
      </c>
      <c r="D77" s="311">
        <v>22.25</v>
      </c>
      <c r="E77" s="306" t="s">
        <v>419</v>
      </c>
      <c r="F77" s="305"/>
      <c r="G77" s="6"/>
      <c r="H77" s="6"/>
    </row>
    <row r="78" spans="1:8" x14ac:dyDescent="0.25">
      <c r="A78" s="308" t="s">
        <v>642</v>
      </c>
      <c r="B78" s="309" t="s">
        <v>291</v>
      </c>
      <c r="C78" s="14" t="str">
        <f>"619216441660"</f>
        <v>619216441660</v>
      </c>
      <c r="D78" s="311">
        <v>17.75</v>
      </c>
      <c r="E78" s="310" t="s">
        <v>420</v>
      </c>
      <c r="F78" s="6"/>
      <c r="G78" s="6"/>
      <c r="H78" s="6"/>
    </row>
    <row r="79" spans="1:8" x14ac:dyDescent="0.25">
      <c r="A79" s="308" t="s">
        <v>642</v>
      </c>
      <c r="B79" s="309" t="s">
        <v>291</v>
      </c>
      <c r="C79" s="14" t="str">
        <f>"619216441652"</f>
        <v>619216441652</v>
      </c>
      <c r="D79" s="311">
        <v>17.75</v>
      </c>
      <c r="E79" s="310" t="s">
        <v>420</v>
      </c>
      <c r="F79" s="6"/>
      <c r="G79" s="6"/>
      <c r="H79" s="6"/>
    </row>
    <row r="80" spans="1:8" x14ac:dyDescent="0.25">
      <c r="A80" s="308" t="s">
        <v>642</v>
      </c>
      <c r="B80" s="309" t="s">
        <v>291</v>
      </c>
      <c r="C80" s="14" t="str">
        <f>"619216441657"</f>
        <v>619216441657</v>
      </c>
      <c r="D80" s="311">
        <v>17.75</v>
      </c>
      <c r="E80" s="310" t="s">
        <v>420</v>
      </c>
      <c r="F80" s="6"/>
      <c r="G80" s="6"/>
      <c r="H80" s="6"/>
    </row>
    <row r="81" spans="1:8" x14ac:dyDescent="0.25">
      <c r="A81" s="308" t="s">
        <v>642</v>
      </c>
      <c r="B81" s="309" t="s">
        <v>291</v>
      </c>
      <c r="C81" s="14" t="str">
        <f>"619216441650"</f>
        <v>619216441650</v>
      </c>
      <c r="D81" s="311">
        <v>17.649999999999999</v>
      </c>
      <c r="E81" s="310" t="s">
        <v>420</v>
      </c>
      <c r="F81" s="6"/>
      <c r="G81" s="6"/>
      <c r="H81" s="6"/>
    </row>
    <row r="82" spans="1:8" x14ac:dyDescent="0.25">
      <c r="A82" s="308" t="s">
        <v>642</v>
      </c>
      <c r="B82" s="181" t="s">
        <v>641</v>
      </c>
      <c r="C82" s="14" t="str">
        <f>"619216441651"</f>
        <v>619216441651</v>
      </c>
      <c r="D82" s="311">
        <v>17.2</v>
      </c>
      <c r="E82" s="310" t="s">
        <v>420</v>
      </c>
      <c r="F82" s="6"/>
      <c r="G82" s="6"/>
      <c r="H82" s="6"/>
    </row>
    <row r="83" spans="1:8" x14ac:dyDescent="0.25">
      <c r="A83" s="308" t="s">
        <v>642</v>
      </c>
      <c r="B83" s="181" t="s">
        <v>641</v>
      </c>
      <c r="C83" s="14" t="str">
        <f>"619216441658"</f>
        <v>619216441658</v>
      </c>
      <c r="D83" s="311">
        <v>17.850000000000001</v>
      </c>
      <c r="E83" s="310" t="s">
        <v>420</v>
      </c>
      <c r="F83" s="6"/>
      <c r="G83" s="6"/>
      <c r="H83" s="6"/>
    </row>
    <row r="84" spans="1:8" x14ac:dyDescent="0.25">
      <c r="A84" s="308" t="s">
        <v>642</v>
      </c>
      <c r="B84" s="181" t="s">
        <v>641</v>
      </c>
      <c r="C84" s="14" t="str">
        <f>"619216441654"</f>
        <v>619216441654</v>
      </c>
      <c r="D84" s="311">
        <v>17.899999999999999</v>
      </c>
      <c r="E84" s="310" t="s">
        <v>420</v>
      </c>
      <c r="F84" s="6"/>
      <c r="G84" s="6"/>
      <c r="H84" s="6"/>
    </row>
    <row r="85" spans="1:8" x14ac:dyDescent="0.25">
      <c r="A85" s="308" t="s">
        <v>642</v>
      </c>
      <c r="B85" s="181" t="s">
        <v>643</v>
      </c>
      <c r="C85" s="14" t="str">
        <f>"619216441659"</f>
        <v>619216441659</v>
      </c>
      <c r="D85" s="311">
        <v>22.3</v>
      </c>
      <c r="E85" s="310" t="s">
        <v>420</v>
      </c>
      <c r="F85" s="6"/>
      <c r="G85" s="6"/>
      <c r="H85" s="6"/>
    </row>
    <row r="86" spans="1:8" x14ac:dyDescent="0.25">
      <c r="A86" s="308" t="s">
        <v>642</v>
      </c>
      <c r="B86" s="181" t="s">
        <v>643</v>
      </c>
      <c r="C86" s="14" t="str">
        <f>"619216441661"</f>
        <v>619216441661</v>
      </c>
      <c r="D86" s="311">
        <v>22.1</v>
      </c>
      <c r="E86" s="310" t="s">
        <v>420</v>
      </c>
      <c r="F86" s="6"/>
      <c r="G86" s="6"/>
      <c r="H86" s="6"/>
    </row>
    <row r="87" spans="1:8" x14ac:dyDescent="0.25">
      <c r="A87" s="308" t="s">
        <v>642</v>
      </c>
      <c r="B87" s="181" t="s">
        <v>643</v>
      </c>
      <c r="C87" s="14" t="str">
        <f>"619216591653"</f>
        <v>619216591653</v>
      </c>
      <c r="D87" s="311">
        <v>21</v>
      </c>
      <c r="E87" s="310" t="s">
        <v>420</v>
      </c>
      <c r="F87" s="6"/>
      <c r="G87" s="6"/>
      <c r="H87" s="6"/>
    </row>
    <row r="88" spans="1:8" x14ac:dyDescent="0.25">
      <c r="A88" s="308" t="s">
        <v>642</v>
      </c>
      <c r="B88" s="181" t="s">
        <v>643</v>
      </c>
      <c r="C88" s="14" t="str">
        <f>"619216441662"</f>
        <v>619216441662</v>
      </c>
      <c r="D88" s="311">
        <v>19.8</v>
      </c>
      <c r="E88" s="310" t="s">
        <v>420</v>
      </c>
      <c r="F88" s="6"/>
      <c r="G88" s="6"/>
      <c r="H88" s="6"/>
    </row>
    <row r="89" spans="1:8" x14ac:dyDescent="0.25">
      <c r="A89" s="308" t="s">
        <v>642</v>
      </c>
      <c r="B89" s="181" t="s">
        <v>643</v>
      </c>
      <c r="C89" s="14" t="str">
        <f>"619216441656"</f>
        <v>619216441656</v>
      </c>
      <c r="D89" s="311">
        <v>16.3</v>
      </c>
      <c r="E89" s="310" t="s">
        <v>420</v>
      </c>
      <c r="F89" s="6"/>
      <c r="G89" s="6"/>
      <c r="H89" s="6"/>
    </row>
    <row r="90" spans="1:8" x14ac:dyDescent="0.25">
      <c r="A90" s="308" t="s">
        <v>642</v>
      </c>
      <c r="B90" s="181" t="s">
        <v>643</v>
      </c>
      <c r="C90" s="14" t="str">
        <f>"619216441655"</f>
        <v>619216441655</v>
      </c>
      <c r="D90" s="311">
        <v>15.2</v>
      </c>
      <c r="E90" s="310" t="s">
        <v>420</v>
      </c>
      <c r="F90" s="6"/>
      <c r="G90" s="6"/>
      <c r="H90" s="6"/>
    </row>
    <row r="91" spans="1:8" x14ac:dyDescent="0.25">
      <c r="A91" s="371" t="s">
        <v>1078</v>
      </c>
      <c r="B91" s="181" t="s">
        <v>643</v>
      </c>
      <c r="C91" s="2" t="str">
        <f>"619217453462"</f>
        <v>619217453462</v>
      </c>
      <c r="D91" s="2">
        <v>3.44</v>
      </c>
      <c r="E91" s="306" t="s">
        <v>419</v>
      </c>
      <c r="F91" s="6"/>
      <c r="G91" s="6"/>
      <c r="H91" s="6"/>
    </row>
    <row r="92" spans="1:8" x14ac:dyDescent="0.25">
      <c r="A92" s="371" t="s">
        <v>1078</v>
      </c>
      <c r="B92" s="181" t="s">
        <v>643</v>
      </c>
      <c r="C92" s="2" t="str">
        <f>"619217503366"</f>
        <v>619217503366</v>
      </c>
      <c r="D92" s="2">
        <v>3.18</v>
      </c>
      <c r="E92" s="306" t="s">
        <v>419</v>
      </c>
    </row>
    <row r="93" spans="1:8" x14ac:dyDescent="0.25">
      <c r="A93" s="371" t="s">
        <v>1078</v>
      </c>
      <c r="B93" s="181" t="s">
        <v>643</v>
      </c>
      <c r="C93" s="2" t="str">
        <f>"619217793449"</f>
        <v>619217793449</v>
      </c>
      <c r="D93" s="2">
        <v>2.94</v>
      </c>
      <c r="E93" s="306" t="s">
        <v>419</v>
      </c>
    </row>
    <row r="94" spans="1:8" x14ac:dyDescent="0.25">
      <c r="A94" s="371" t="s">
        <v>1078</v>
      </c>
      <c r="B94" s="181" t="s">
        <v>643</v>
      </c>
      <c r="C94" s="2" t="str">
        <f>"619217503450"</f>
        <v>619217503450</v>
      </c>
      <c r="D94" s="2">
        <v>2.93</v>
      </c>
      <c r="E94" s="306" t="s">
        <v>419</v>
      </c>
    </row>
    <row r="95" spans="1:8" x14ac:dyDescent="0.25">
      <c r="A95" s="371" t="s">
        <v>1078</v>
      </c>
      <c r="B95" s="181" t="s">
        <v>643</v>
      </c>
      <c r="C95" s="2" t="str">
        <f>"619217453391"</f>
        <v>619217453391</v>
      </c>
      <c r="D95" s="2">
        <v>2.9</v>
      </c>
      <c r="E95" s="306" t="s">
        <v>419</v>
      </c>
    </row>
    <row r="96" spans="1:8" x14ac:dyDescent="0.25">
      <c r="A96" s="371" t="s">
        <v>1078</v>
      </c>
      <c r="B96" s="181" t="s">
        <v>643</v>
      </c>
      <c r="C96" s="2" t="str">
        <f>"619217453461"</f>
        <v>619217453461</v>
      </c>
      <c r="D96" s="2">
        <v>2.88</v>
      </c>
      <c r="E96" s="306" t="s">
        <v>419</v>
      </c>
    </row>
    <row r="97" spans="1:5" x14ac:dyDescent="0.25">
      <c r="A97" s="371" t="s">
        <v>1078</v>
      </c>
      <c r="B97" s="181" t="s">
        <v>643</v>
      </c>
      <c r="C97" s="2" t="str">
        <f>"619217453383"</f>
        <v>619217453383</v>
      </c>
      <c r="D97" s="2">
        <v>2.86</v>
      </c>
      <c r="E97" s="306" t="s">
        <v>419</v>
      </c>
    </row>
    <row r="98" spans="1:5" x14ac:dyDescent="0.25">
      <c r="A98" s="371" t="s">
        <v>1078</v>
      </c>
      <c r="B98" s="181" t="s">
        <v>643</v>
      </c>
      <c r="C98" s="2" t="str">
        <f>"619217503392"</f>
        <v>619217503392</v>
      </c>
      <c r="D98" s="2">
        <v>2.85</v>
      </c>
      <c r="E98" s="306" t="s">
        <v>419</v>
      </c>
    </row>
    <row r="99" spans="1:5" x14ac:dyDescent="0.25">
      <c r="A99" s="371" t="s">
        <v>1078</v>
      </c>
      <c r="B99" s="181" t="s">
        <v>643</v>
      </c>
      <c r="C99" s="2" t="str">
        <f>"619217503467"</f>
        <v>619217503467</v>
      </c>
      <c r="D99" s="2">
        <v>2.84</v>
      </c>
      <c r="E99" s="306" t="s">
        <v>419</v>
      </c>
    </row>
    <row r="100" spans="1:5" x14ac:dyDescent="0.25">
      <c r="A100" s="371" t="s">
        <v>1078</v>
      </c>
      <c r="B100" s="181" t="s">
        <v>643</v>
      </c>
      <c r="C100" s="2" t="str">
        <f>"619217453423"</f>
        <v>619217453423</v>
      </c>
      <c r="D100" s="2">
        <v>2.82</v>
      </c>
      <c r="E100" s="306" t="s">
        <v>419</v>
      </c>
    </row>
    <row r="101" spans="1:5" x14ac:dyDescent="0.25">
      <c r="A101" s="371" t="s">
        <v>1078</v>
      </c>
      <c r="B101" s="181" t="s">
        <v>643</v>
      </c>
      <c r="C101" s="2" t="str">
        <f>"619217453465"</f>
        <v>619217453465</v>
      </c>
      <c r="D101" s="2">
        <v>2.81</v>
      </c>
      <c r="E101" s="306" t="s">
        <v>419</v>
      </c>
    </row>
    <row r="102" spans="1:5" x14ac:dyDescent="0.25">
      <c r="A102" s="371" t="s">
        <v>1078</v>
      </c>
      <c r="B102" s="181" t="s">
        <v>643</v>
      </c>
      <c r="C102" s="2" t="str">
        <f>"619217453402"</f>
        <v>619217453402</v>
      </c>
      <c r="D102" s="2">
        <v>2.76</v>
      </c>
      <c r="E102" s="306" t="s">
        <v>419</v>
      </c>
    </row>
    <row r="103" spans="1:5" x14ac:dyDescent="0.25">
      <c r="A103" s="371" t="s">
        <v>1078</v>
      </c>
      <c r="B103" s="181" t="s">
        <v>643</v>
      </c>
      <c r="C103" s="2" t="str">
        <f>"619217453448"</f>
        <v>619217453448</v>
      </c>
      <c r="D103" s="2">
        <v>2.71</v>
      </c>
      <c r="E103" s="306" t="s">
        <v>419</v>
      </c>
    </row>
    <row r="104" spans="1:5" x14ac:dyDescent="0.25">
      <c r="A104" s="371" t="s">
        <v>1078</v>
      </c>
      <c r="B104" s="181" t="s">
        <v>643</v>
      </c>
      <c r="C104" s="2" t="str">
        <f>"619217453425"</f>
        <v>619217453425</v>
      </c>
      <c r="D104" s="2">
        <v>2.7</v>
      </c>
      <c r="E104" s="306" t="s">
        <v>419</v>
      </c>
    </row>
    <row r="105" spans="1:5" x14ac:dyDescent="0.25">
      <c r="A105" s="371" t="s">
        <v>1078</v>
      </c>
      <c r="B105" s="181" t="s">
        <v>643</v>
      </c>
      <c r="C105" s="2" t="str">
        <f>"619217453379"</f>
        <v>619217453379</v>
      </c>
      <c r="D105" s="2">
        <v>2.7</v>
      </c>
      <c r="E105" s="306" t="s">
        <v>419</v>
      </c>
    </row>
    <row r="106" spans="1:5" x14ac:dyDescent="0.25">
      <c r="A106" s="371" t="s">
        <v>1078</v>
      </c>
      <c r="B106" s="181" t="s">
        <v>643</v>
      </c>
      <c r="C106" s="2" t="str">
        <f>"619217503400"</f>
        <v>619217503400</v>
      </c>
      <c r="D106" s="2">
        <v>2.67</v>
      </c>
      <c r="E106" s="306" t="s">
        <v>419</v>
      </c>
    </row>
    <row r="107" spans="1:5" x14ac:dyDescent="0.25">
      <c r="A107" s="371" t="s">
        <v>1078</v>
      </c>
      <c r="B107" s="181" t="s">
        <v>643</v>
      </c>
      <c r="C107" s="2" t="str">
        <f>"619217453455"</f>
        <v>619217453455</v>
      </c>
      <c r="D107" s="2">
        <v>2.66</v>
      </c>
      <c r="E107" s="306" t="s">
        <v>419</v>
      </c>
    </row>
    <row r="108" spans="1:5" x14ac:dyDescent="0.25">
      <c r="A108" s="371" t="s">
        <v>1078</v>
      </c>
      <c r="B108" s="181" t="s">
        <v>643</v>
      </c>
      <c r="C108" s="2" t="str">
        <f>"619217453384"</f>
        <v>619217453384</v>
      </c>
      <c r="D108" s="2">
        <v>2.64</v>
      </c>
      <c r="E108" s="306" t="s">
        <v>419</v>
      </c>
    </row>
    <row r="109" spans="1:5" x14ac:dyDescent="0.25">
      <c r="A109" s="371" t="s">
        <v>1078</v>
      </c>
      <c r="B109" s="181" t="s">
        <v>643</v>
      </c>
      <c r="C109" s="2" t="str">
        <f>"619217453445"</f>
        <v>619217453445</v>
      </c>
      <c r="D109" s="2">
        <v>2.62</v>
      </c>
      <c r="E109" s="306" t="s">
        <v>419</v>
      </c>
    </row>
    <row r="110" spans="1:5" x14ac:dyDescent="0.25">
      <c r="A110" s="371" t="s">
        <v>1078</v>
      </c>
      <c r="B110" s="181" t="s">
        <v>643</v>
      </c>
      <c r="C110" s="2" t="str">
        <f>"619217503394"</f>
        <v>619217503394</v>
      </c>
      <c r="D110" s="2">
        <v>2.62</v>
      </c>
      <c r="E110" s="306" t="s">
        <v>419</v>
      </c>
    </row>
    <row r="111" spans="1:5" x14ac:dyDescent="0.25">
      <c r="A111" s="371" t="s">
        <v>1078</v>
      </c>
      <c r="B111" s="181" t="s">
        <v>643</v>
      </c>
      <c r="C111" s="2" t="str">
        <f>"619217453390"</f>
        <v>619217453390</v>
      </c>
      <c r="D111" s="2">
        <v>2.59</v>
      </c>
      <c r="E111" s="306" t="s">
        <v>419</v>
      </c>
    </row>
    <row r="112" spans="1:5" x14ac:dyDescent="0.25">
      <c r="A112" s="371" t="s">
        <v>1078</v>
      </c>
      <c r="B112" s="181" t="s">
        <v>643</v>
      </c>
      <c r="C112" s="2" t="str">
        <f>"619217503464"</f>
        <v>619217503464</v>
      </c>
      <c r="D112" s="2">
        <v>2.33</v>
      </c>
      <c r="E112" s="306" t="s">
        <v>419</v>
      </c>
    </row>
    <row r="113" spans="1:5" x14ac:dyDescent="0.25">
      <c r="A113" s="371" t="s">
        <v>1078</v>
      </c>
      <c r="B113" s="181" t="s">
        <v>643</v>
      </c>
      <c r="C113" s="5" t="str">
        <f>"619217503411"</f>
        <v>619217503411</v>
      </c>
      <c r="D113" s="2">
        <v>1.99</v>
      </c>
      <c r="E113" s="310" t="s">
        <v>420</v>
      </c>
    </row>
    <row r="114" spans="1:5" x14ac:dyDescent="0.25">
      <c r="A114" s="371" t="s">
        <v>1078</v>
      </c>
      <c r="B114" s="181" t="s">
        <v>643</v>
      </c>
      <c r="C114" s="5" t="str">
        <f>"619217453469"</f>
        <v>619217453469</v>
      </c>
      <c r="D114" s="2">
        <v>1.98</v>
      </c>
      <c r="E114" s="310" t="s">
        <v>420</v>
      </c>
    </row>
    <row r="115" spans="1:5" x14ac:dyDescent="0.25">
      <c r="A115" s="371" t="s">
        <v>1078</v>
      </c>
      <c r="B115" s="181" t="s">
        <v>643</v>
      </c>
      <c r="C115" s="5" t="str">
        <f>"619217503412"</f>
        <v>619217503412</v>
      </c>
      <c r="D115" s="2">
        <v>1.98</v>
      </c>
      <c r="E115" s="310" t="s">
        <v>420</v>
      </c>
    </row>
    <row r="116" spans="1:5" x14ac:dyDescent="0.25">
      <c r="A116" s="371" t="s">
        <v>1078</v>
      </c>
      <c r="B116" s="181" t="s">
        <v>643</v>
      </c>
      <c r="C116" s="5" t="str">
        <f>"619217453410"</f>
        <v>619217453410</v>
      </c>
      <c r="D116" s="2">
        <v>1.98</v>
      </c>
      <c r="E116" s="310" t="s">
        <v>420</v>
      </c>
    </row>
    <row r="117" spans="1:5" x14ac:dyDescent="0.25">
      <c r="A117" s="371" t="s">
        <v>1078</v>
      </c>
      <c r="B117" s="181" t="s">
        <v>643</v>
      </c>
      <c r="C117" s="5" t="str">
        <f>"619217453393"</f>
        <v>619217453393</v>
      </c>
      <c r="D117" s="2">
        <v>1.98</v>
      </c>
      <c r="E117" s="310" t="s">
        <v>420</v>
      </c>
    </row>
    <row r="118" spans="1:5" x14ac:dyDescent="0.25">
      <c r="A118" s="371" t="s">
        <v>1078</v>
      </c>
      <c r="B118" s="181" t="s">
        <v>643</v>
      </c>
      <c r="C118" s="5" t="str">
        <f>"619217453403"</f>
        <v>619217453403</v>
      </c>
      <c r="D118" s="2">
        <v>1.97</v>
      </c>
      <c r="E118" s="310" t="s">
        <v>420</v>
      </c>
    </row>
    <row r="119" spans="1:5" x14ac:dyDescent="0.25">
      <c r="A119" s="371" t="s">
        <v>1078</v>
      </c>
      <c r="B119" s="181" t="s">
        <v>643</v>
      </c>
      <c r="C119" s="5" t="str">
        <f>"619217453432"</f>
        <v>619217453432</v>
      </c>
      <c r="D119" s="2">
        <v>1.94</v>
      </c>
      <c r="E119" s="310" t="s">
        <v>420</v>
      </c>
    </row>
    <row r="120" spans="1:5" x14ac:dyDescent="0.25">
      <c r="A120" s="371" t="s">
        <v>1078</v>
      </c>
      <c r="B120" s="181" t="s">
        <v>643</v>
      </c>
      <c r="C120" s="5" t="str">
        <f>"619217453407"</f>
        <v>619217453407</v>
      </c>
      <c r="D120" s="2">
        <v>1.82</v>
      </c>
      <c r="E120" s="310" t="s">
        <v>420</v>
      </c>
    </row>
    <row r="121" spans="1:5" x14ac:dyDescent="0.25">
      <c r="A121" s="371" t="s">
        <v>1078</v>
      </c>
      <c r="B121" s="181" t="s">
        <v>643</v>
      </c>
      <c r="C121" s="5" t="str">
        <f>"619217453429"</f>
        <v>619217453429</v>
      </c>
      <c r="D121" s="2">
        <v>1.79</v>
      </c>
      <c r="E121" s="310" t="s">
        <v>420</v>
      </c>
    </row>
    <row r="122" spans="1:5" x14ac:dyDescent="0.25">
      <c r="A122" s="371" t="s">
        <v>1078</v>
      </c>
      <c r="B122" s="181" t="s">
        <v>643</v>
      </c>
      <c r="C122" s="5" t="str">
        <f>"619217453415"</f>
        <v>619217453415</v>
      </c>
      <c r="D122" s="2">
        <v>1.76</v>
      </c>
      <c r="E122" s="310" t="s">
        <v>420</v>
      </c>
    </row>
    <row r="123" spans="1:5" x14ac:dyDescent="0.25">
      <c r="A123" s="371" t="s">
        <v>1078</v>
      </c>
      <c r="B123" s="342" t="s">
        <v>641</v>
      </c>
      <c r="C123" s="2" t="str">
        <f>"619217503365"</f>
        <v>619217503365</v>
      </c>
      <c r="D123" s="2">
        <v>3.05</v>
      </c>
      <c r="E123" s="306" t="s">
        <v>419</v>
      </c>
    </row>
    <row r="124" spans="1:5" x14ac:dyDescent="0.25">
      <c r="A124" s="371" t="s">
        <v>1078</v>
      </c>
      <c r="B124" s="342" t="s">
        <v>641</v>
      </c>
      <c r="C124" s="2" t="str">
        <f>"619217503454"</f>
        <v>619217503454</v>
      </c>
      <c r="D124" s="2">
        <v>3.02</v>
      </c>
      <c r="E124" s="306" t="s">
        <v>419</v>
      </c>
    </row>
    <row r="125" spans="1:5" x14ac:dyDescent="0.25">
      <c r="A125" s="371" t="s">
        <v>1078</v>
      </c>
      <c r="B125" s="342" t="s">
        <v>641</v>
      </c>
      <c r="C125" s="2" t="str">
        <f>"619217453381"</f>
        <v>619217453381</v>
      </c>
      <c r="D125" s="2">
        <v>3.01</v>
      </c>
      <c r="E125" s="306" t="s">
        <v>419</v>
      </c>
    </row>
    <row r="126" spans="1:5" x14ac:dyDescent="0.25">
      <c r="A126" s="371" t="s">
        <v>1078</v>
      </c>
      <c r="B126" s="342" t="s">
        <v>641</v>
      </c>
      <c r="C126" s="2" t="str">
        <f>"619217453446"</f>
        <v>619217453446</v>
      </c>
      <c r="D126" s="2">
        <v>2.9</v>
      </c>
      <c r="E126" s="306" t="s">
        <v>419</v>
      </c>
    </row>
    <row r="127" spans="1:5" x14ac:dyDescent="0.25">
      <c r="A127" s="371" t="s">
        <v>1078</v>
      </c>
      <c r="B127" s="342" t="s">
        <v>641</v>
      </c>
      <c r="C127" s="2" t="str">
        <f>"619217453431"</f>
        <v>619217453431</v>
      </c>
      <c r="D127" s="2">
        <v>2.9</v>
      </c>
      <c r="E127" s="306" t="s">
        <v>419</v>
      </c>
    </row>
    <row r="128" spans="1:5" x14ac:dyDescent="0.25">
      <c r="A128" s="371" t="s">
        <v>1078</v>
      </c>
      <c r="B128" s="342" t="s">
        <v>641</v>
      </c>
      <c r="C128" s="2" t="str">
        <f>"619217453395"</f>
        <v>619217453395</v>
      </c>
      <c r="D128" s="2">
        <v>2.9</v>
      </c>
      <c r="E128" s="306" t="s">
        <v>419</v>
      </c>
    </row>
    <row r="129" spans="1:5" x14ac:dyDescent="0.25">
      <c r="A129" s="371" t="s">
        <v>1078</v>
      </c>
      <c r="B129" s="342" t="s">
        <v>641</v>
      </c>
      <c r="C129" s="2" t="str">
        <f>"619217453388"</f>
        <v>619217453388</v>
      </c>
      <c r="D129" s="2">
        <v>2.85</v>
      </c>
      <c r="E129" s="306" t="s">
        <v>419</v>
      </c>
    </row>
    <row r="130" spans="1:5" x14ac:dyDescent="0.25">
      <c r="A130" s="371" t="s">
        <v>1078</v>
      </c>
      <c r="B130" s="342" t="s">
        <v>641</v>
      </c>
      <c r="C130" s="2" t="str">
        <f>"619217453458"</f>
        <v>619217453458</v>
      </c>
      <c r="D130" s="2">
        <v>2.79</v>
      </c>
      <c r="E130" s="306" t="s">
        <v>419</v>
      </c>
    </row>
    <row r="131" spans="1:5" x14ac:dyDescent="0.25">
      <c r="A131" s="371" t="s">
        <v>1078</v>
      </c>
      <c r="B131" s="342" t="s">
        <v>641</v>
      </c>
      <c r="C131" s="5" t="str">
        <f>"619217503460"</f>
        <v>619217503460</v>
      </c>
      <c r="D131" s="2">
        <v>2.59</v>
      </c>
      <c r="E131" s="310" t="s">
        <v>420</v>
      </c>
    </row>
    <row r="132" spans="1:5" x14ac:dyDescent="0.25">
      <c r="A132" s="371" t="s">
        <v>1078</v>
      </c>
      <c r="B132" s="342" t="s">
        <v>641</v>
      </c>
      <c r="C132" s="5" t="str">
        <f>"619217503452"</f>
        <v>619217503452</v>
      </c>
      <c r="D132" s="2">
        <v>2.2400000000000002</v>
      </c>
      <c r="E132" s="310" t="s">
        <v>420</v>
      </c>
    </row>
    <row r="133" spans="1:5" x14ac:dyDescent="0.25">
      <c r="A133" s="371" t="s">
        <v>1078</v>
      </c>
      <c r="B133" s="342" t="s">
        <v>641</v>
      </c>
      <c r="C133" s="5" t="str">
        <f>"619217503457"</f>
        <v>619217503457</v>
      </c>
      <c r="D133" s="2">
        <v>2.23</v>
      </c>
      <c r="E133" s="310" t="s">
        <v>420</v>
      </c>
    </row>
    <row r="134" spans="1:5" x14ac:dyDescent="0.25">
      <c r="A134" s="371" t="s">
        <v>1078</v>
      </c>
      <c r="B134" s="342" t="s">
        <v>641</v>
      </c>
      <c r="C134" s="5" t="str">
        <f>"619217503399"</f>
        <v>619217503399</v>
      </c>
      <c r="D134" s="2">
        <v>2.2200000000000002</v>
      </c>
      <c r="E134" s="310" t="s">
        <v>420</v>
      </c>
    </row>
    <row r="135" spans="1:5" x14ac:dyDescent="0.25">
      <c r="A135" s="371" t="s">
        <v>1078</v>
      </c>
      <c r="B135" s="342" t="s">
        <v>641</v>
      </c>
      <c r="C135" s="5" t="str">
        <f>"619217453377"</f>
        <v>619217453377</v>
      </c>
      <c r="D135" s="2">
        <v>2.2200000000000002</v>
      </c>
      <c r="E135" s="310" t="s">
        <v>420</v>
      </c>
    </row>
    <row r="136" spans="1:5" x14ac:dyDescent="0.25">
      <c r="A136" s="371" t="s">
        <v>1078</v>
      </c>
      <c r="B136" s="342" t="s">
        <v>641</v>
      </c>
      <c r="C136" s="5" t="str">
        <f>"619217503468"</f>
        <v>619217503468</v>
      </c>
      <c r="D136" s="2">
        <v>2.0299999999999998</v>
      </c>
      <c r="E136" s="310" t="s">
        <v>420</v>
      </c>
    </row>
    <row r="137" spans="1:5" x14ac:dyDescent="0.25">
      <c r="A137" s="371" t="s">
        <v>1078</v>
      </c>
      <c r="B137" s="342" t="s">
        <v>641</v>
      </c>
      <c r="C137" s="5" t="str">
        <f>"619217453409"</f>
        <v>619217453409</v>
      </c>
      <c r="D137" s="2">
        <v>1.7</v>
      </c>
      <c r="E137" s="310" t="s">
        <v>420</v>
      </c>
    </row>
    <row r="138" spans="1:5" x14ac:dyDescent="0.25">
      <c r="A138" s="371" t="s">
        <v>1078</v>
      </c>
      <c r="B138" s="342" t="s">
        <v>291</v>
      </c>
      <c r="C138" s="2" t="str">
        <f>"619217453362"</f>
        <v>619217453362</v>
      </c>
      <c r="D138" s="2">
        <v>3.28</v>
      </c>
      <c r="E138" s="306" t="s">
        <v>419</v>
      </c>
    </row>
    <row r="139" spans="1:5" x14ac:dyDescent="0.25">
      <c r="A139" s="371" t="s">
        <v>1078</v>
      </c>
      <c r="B139" s="342" t="s">
        <v>291</v>
      </c>
      <c r="C139" s="2" t="str">
        <f>"619217503456"</f>
        <v>619217503456</v>
      </c>
      <c r="D139" s="2">
        <v>2.93</v>
      </c>
      <c r="E139" s="306" t="s">
        <v>419</v>
      </c>
    </row>
    <row r="140" spans="1:5" x14ac:dyDescent="0.25">
      <c r="A140" s="371" t="s">
        <v>1078</v>
      </c>
      <c r="B140" s="342" t="s">
        <v>291</v>
      </c>
      <c r="C140" s="2" t="str">
        <f>"619217453417"</f>
        <v>619217453417</v>
      </c>
      <c r="D140" s="2">
        <v>2.93</v>
      </c>
      <c r="E140" s="306" t="s">
        <v>419</v>
      </c>
    </row>
    <row r="141" spans="1:5" x14ac:dyDescent="0.25">
      <c r="A141" s="371" t="s">
        <v>1078</v>
      </c>
      <c r="B141" s="342" t="s">
        <v>291</v>
      </c>
      <c r="C141" s="2" t="str">
        <f>"619217453363"</f>
        <v>619217453363</v>
      </c>
      <c r="D141" s="2">
        <v>2.93</v>
      </c>
      <c r="E141" s="306" t="s">
        <v>419</v>
      </c>
    </row>
    <row r="142" spans="1:5" x14ac:dyDescent="0.25">
      <c r="A142" s="371" t="s">
        <v>1078</v>
      </c>
      <c r="B142" s="342" t="s">
        <v>291</v>
      </c>
      <c r="C142" s="2" t="str">
        <f>"619217503374"</f>
        <v>619217503374</v>
      </c>
      <c r="D142" s="2">
        <v>2.89</v>
      </c>
      <c r="E142" s="306" t="s">
        <v>419</v>
      </c>
    </row>
    <row r="143" spans="1:5" x14ac:dyDescent="0.25">
      <c r="A143" s="371" t="s">
        <v>1078</v>
      </c>
      <c r="B143" s="342" t="s">
        <v>291</v>
      </c>
      <c r="C143" s="2" t="str">
        <f>"619217453471"</f>
        <v>619217453471</v>
      </c>
      <c r="D143" s="2">
        <v>2.88</v>
      </c>
      <c r="E143" s="306" t="s">
        <v>419</v>
      </c>
    </row>
    <row r="144" spans="1:5" x14ac:dyDescent="0.25">
      <c r="A144" s="371" t="s">
        <v>1078</v>
      </c>
      <c r="B144" s="342" t="s">
        <v>291</v>
      </c>
      <c r="C144" s="2" t="str">
        <f>"619217503453"</f>
        <v>619217503453</v>
      </c>
      <c r="D144" s="2">
        <v>2.86</v>
      </c>
      <c r="E144" s="306" t="s">
        <v>419</v>
      </c>
    </row>
    <row r="145" spans="1:5" x14ac:dyDescent="0.25">
      <c r="A145" s="371" t="s">
        <v>1078</v>
      </c>
      <c r="B145" s="342" t="s">
        <v>291</v>
      </c>
      <c r="C145" s="2" t="str">
        <f>"619217453380"</f>
        <v>619217453380</v>
      </c>
      <c r="D145" s="2">
        <v>2.83</v>
      </c>
      <c r="E145" s="306" t="s">
        <v>419</v>
      </c>
    </row>
    <row r="146" spans="1:5" x14ac:dyDescent="0.25">
      <c r="A146" s="371" t="s">
        <v>1078</v>
      </c>
      <c r="B146" s="342" t="s">
        <v>291</v>
      </c>
      <c r="C146" s="2" t="str">
        <f>"619217453364"</f>
        <v>619217453364</v>
      </c>
      <c r="D146" s="2">
        <v>2.76</v>
      </c>
      <c r="E146" s="306" t="s">
        <v>419</v>
      </c>
    </row>
    <row r="147" spans="1:5" x14ac:dyDescent="0.25">
      <c r="A147" s="371" t="s">
        <v>1078</v>
      </c>
      <c r="B147" s="342" t="s">
        <v>291</v>
      </c>
      <c r="C147" s="2" t="str">
        <f>"619217453419"</f>
        <v>619217453419</v>
      </c>
      <c r="D147" s="2">
        <v>2.41</v>
      </c>
      <c r="E147" s="306" t="s">
        <v>419</v>
      </c>
    </row>
    <row r="148" spans="1:5" x14ac:dyDescent="0.25">
      <c r="A148" s="371" t="s">
        <v>1078</v>
      </c>
      <c r="B148" s="342" t="s">
        <v>291</v>
      </c>
      <c r="C148" s="5" t="str">
        <f>"619217453424"</f>
        <v>619217453424</v>
      </c>
      <c r="D148" s="400">
        <v>2.27</v>
      </c>
      <c r="E148" s="310" t="s">
        <v>420</v>
      </c>
    </row>
    <row r="149" spans="1:5" x14ac:dyDescent="0.25">
      <c r="A149" s="371" t="s">
        <v>1078</v>
      </c>
      <c r="B149" s="342" t="s">
        <v>291</v>
      </c>
      <c r="C149" s="5" t="str">
        <f>"619217503404"</f>
        <v>619217503404</v>
      </c>
      <c r="D149" s="400">
        <v>2.2599999999999998</v>
      </c>
      <c r="E149" s="310" t="s">
        <v>420</v>
      </c>
    </row>
    <row r="150" spans="1:5" x14ac:dyDescent="0.25">
      <c r="A150" s="371" t="s">
        <v>1078</v>
      </c>
      <c r="B150" s="342" t="s">
        <v>291</v>
      </c>
      <c r="C150" s="5" t="str">
        <f>"619217503473"</f>
        <v>619217503473</v>
      </c>
      <c r="D150" s="2">
        <v>2.2000000000000002</v>
      </c>
      <c r="E150" s="310" t="s">
        <v>420</v>
      </c>
    </row>
    <row r="151" spans="1:5" x14ac:dyDescent="0.25">
      <c r="A151" s="371" t="s">
        <v>1078</v>
      </c>
      <c r="B151" s="342" t="s">
        <v>291</v>
      </c>
      <c r="C151" s="5" t="str">
        <f>"619217503463"</f>
        <v>619217503463</v>
      </c>
      <c r="D151" s="2">
        <v>2.2000000000000002</v>
      </c>
      <c r="E151" s="310" t="s">
        <v>420</v>
      </c>
    </row>
    <row r="152" spans="1:5" x14ac:dyDescent="0.25">
      <c r="A152" s="371" t="s">
        <v>1078</v>
      </c>
      <c r="B152" s="342" t="s">
        <v>291</v>
      </c>
      <c r="C152" s="5" t="str">
        <f>"619217453475"</f>
        <v>619217453475</v>
      </c>
      <c r="D152" s="2">
        <v>2.1</v>
      </c>
      <c r="E152" s="310" t="s">
        <v>420</v>
      </c>
    </row>
    <row r="153" spans="1:5" x14ac:dyDescent="0.25">
      <c r="A153" s="371" t="s">
        <v>1078</v>
      </c>
      <c r="B153" s="342" t="s">
        <v>291</v>
      </c>
      <c r="C153" s="5" t="str">
        <f>"619217453481"</f>
        <v>619217453481</v>
      </c>
      <c r="D153" s="2">
        <v>2</v>
      </c>
      <c r="E153" s="310" t="s">
        <v>420</v>
      </c>
    </row>
    <row r="154" spans="1:5" x14ac:dyDescent="0.25">
      <c r="A154" s="371" t="s">
        <v>1078</v>
      </c>
      <c r="B154" s="342" t="s">
        <v>291</v>
      </c>
      <c r="C154" s="5" t="str">
        <f>"619217503406"</f>
        <v>619217503406</v>
      </c>
      <c r="D154" s="400">
        <v>1.97</v>
      </c>
      <c r="E154" s="310" t="s">
        <v>420</v>
      </c>
    </row>
    <row r="155" spans="1:5" x14ac:dyDescent="0.25">
      <c r="A155" s="610" t="s">
        <v>1163</v>
      </c>
      <c r="B155" s="342" t="s">
        <v>643</v>
      </c>
      <c r="C155" s="2">
        <v>19201801127</v>
      </c>
      <c r="D155" s="2">
        <v>3.29</v>
      </c>
      <c r="E155" s="306" t="s">
        <v>419</v>
      </c>
    </row>
    <row r="156" spans="1:5" x14ac:dyDescent="0.25">
      <c r="A156" s="645" t="s">
        <v>1163</v>
      </c>
      <c r="B156" s="342" t="s">
        <v>643</v>
      </c>
      <c r="C156" s="2">
        <v>19201801117</v>
      </c>
      <c r="D156" s="2">
        <v>3.2</v>
      </c>
      <c r="E156" s="306" t="s">
        <v>419</v>
      </c>
    </row>
    <row r="157" spans="1:5" x14ac:dyDescent="0.25">
      <c r="A157" s="645" t="s">
        <v>1163</v>
      </c>
      <c r="B157" s="342" t="s">
        <v>643</v>
      </c>
      <c r="C157" s="2">
        <v>19201801097</v>
      </c>
      <c r="D157" s="2">
        <v>3.1</v>
      </c>
      <c r="E157" s="306" t="s">
        <v>419</v>
      </c>
    </row>
    <row r="158" spans="1:5" x14ac:dyDescent="0.25">
      <c r="A158" s="645" t="s">
        <v>1163</v>
      </c>
      <c r="B158" s="342" t="s">
        <v>643</v>
      </c>
      <c r="C158" s="2">
        <v>19201801141</v>
      </c>
      <c r="D158" s="2">
        <v>2.94</v>
      </c>
      <c r="E158" s="306" t="s">
        <v>419</v>
      </c>
    </row>
    <row r="159" spans="1:5" x14ac:dyDescent="0.25">
      <c r="A159" s="645" t="s">
        <v>1163</v>
      </c>
      <c r="B159" s="342" t="s">
        <v>643</v>
      </c>
      <c r="C159" s="2">
        <v>19201801131</v>
      </c>
      <c r="D159" s="2">
        <v>2.74</v>
      </c>
      <c r="E159" s="306" t="s">
        <v>419</v>
      </c>
    </row>
    <row r="160" spans="1:5" x14ac:dyDescent="0.25">
      <c r="A160" s="610" t="s">
        <v>1163</v>
      </c>
      <c r="B160" s="342" t="s">
        <v>643</v>
      </c>
      <c r="C160" s="2">
        <v>19201801162</v>
      </c>
      <c r="D160" s="2">
        <v>2.74</v>
      </c>
      <c r="E160" s="306" t="s">
        <v>419</v>
      </c>
    </row>
    <row r="161" spans="1:5" x14ac:dyDescent="0.25">
      <c r="A161" s="645" t="s">
        <v>1163</v>
      </c>
      <c r="B161" s="342" t="s">
        <v>643</v>
      </c>
      <c r="C161" s="2">
        <v>19201801144</v>
      </c>
      <c r="D161" s="2">
        <v>2.72</v>
      </c>
      <c r="E161" s="306" t="s">
        <v>419</v>
      </c>
    </row>
    <row r="162" spans="1:5" x14ac:dyDescent="0.25">
      <c r="A162" s="645" t="s">
        <v>1163</v>
      </c>
      <c r="B162" s="342" t="s">
        <v>643</v>
      </c>
      <c r="C162" s="2">
        <v>19201801099</v>
      </c>
      <c r="D162" s="2">
        <v>2.71</v>
      </c>
      <c r="E162" s="306" t="s">
        <v>419</v>
      </c>
    </row>
    <row r="163" spans="1:5" x14ac:dyDescent="0.25">
      <c r="A163" s="645" t="s">
        <v>1163</v>
      </c>
      <c r="B163" s="342" t="s">
        <v>643</v>
      </c>
      <c r="C163" s="2">
        <v>19201801120</v>
      </c>
      <c r="D163" s="2">
        <v>2.71</v>
      </c>
      <c r="E163" s="306" t="s">
        <v>419</v>
      </c>
    </row>
    <row r="164" spans="1:5" x14ac:dyDescent="0.25">
      <c r="A164" s="645" t="s">
        <v>1163</v>
      </c>
      <c r="B164" s="342" t="s">
        <v>643</v>
      </c>
      <c r="C164" s="2">
        <v>19201801108</v>
      </c>
      <c r="D164" s="2">
        <v>2.68</v>
      </c>
      <c r="E164" s="306" t="s">
        <v>419</v>
      </c>
    </row>
    <row r="165" spans="1:5" x14ac:dyDescent="0.25">
      <c r="A165" s="610" t="s">
        <v>1163</v>
      </c>
      <c r="B165" s="342" t="s">
        <v>643</v>
      </c>
      <c r="C165" s="2">
        <v>19201801145</v>
      </c>
      <c r="D165" s="2">
        <v>2.68</v>
      </c>
      <c r="E165" s="306" t="s">
        <v>419</v>
      </c>
    </row>
    <row r="166" spans="1:5" x14ac:dyDescent="0.25">
      <c r="A166" s="645" t="s">
        <v>1163</v>
      </c>
      <c r="B166" s="342" t="s">
        <v>643</v>
      </c>
      <c r="C166" s="2">
        <v>19201801114</v>
      </c>
      <c r="D166" s="2">
        <v>2.66</v>
      </c>
      <c r="E166" s="306" t="s">
        <v>419</v>
      </c>
    </row>
    <row r="167" spans="1:5" x14ac:dyDescent="0.25">
      <c r="A167" s="645" t="s">
        <v>1163</v>
      </c>
      <c r="B167" s="342" t="s">
        <v>643</v>
      </c>
      <c r="C167" s="2">
        <v>19201801158</v>
      </c>
      <c r="D167" s="2">
        <v>2.54</v>
      </c>
      <c r="E167" s="306" t="s">
        <v>419</v>
      </c>
    </row>
    <row r="168" spans="1:5" x14ac:dyDescent="0.25">
      <c r="A168" s="645" t="s">
        <v>1163</v>
      </c>
      <c r="B168" s="342" t="s">
        <v>643</v>
      </c>
      <c r="C168" s="2">
        <v>19201801119</v>
      </c>
      <c r="D168" s="2">
        <v>2.5299999999999998</v>
      </c>
      <c r="E168" s="306" t="s">
        <v>419</v>
      </c>
    </row>
    <row r="169" spans="1:5" x14ac:dyDescent="0.25">
      <c r="A169" s="645" t="s">
        <v>1163</v>
      </c>
      <c r="B169" s="342" t="s">
        <v>643</v>
      </c>
      <c r="C169" s="2">
        <v>19201801139</v>
      </c>
      <c r="D169" s="2">
        <v>2.4500000000000002</v>
      </c>
      <c r="E169" s="306" t="s">
        <v>419</v>
      </c>
    </row>
    <row r="170" spans="1:5" x14ac:dyDescent="0.25">
      <c r="A170" s="610" t="s">
        <v>1163</v>
      </c>
      <c r="B170" s="342" t="s">
        <v>643</v>
      </c>
      <c r="C170" s="2">
        <v>19201801111</v>
      </c>
      <c r="D170" s="2">
        <v>2.41</v>
      </c>
      <c r="E170" s="306" t="s">
        <v>419</v>
      </c>
    </row>
    <row r="171" spans="1:5" x14ac:dyDescent="0.25">
      <c r="A171" s="645" t="s">
        <v>1163</v>
      </c>
      <c r="B171" s="342" t="s">
        <v>643</v>
      </c>
      <c r="C171" s="2">
        <v>19201801109</v>
      </c>
      <c r="D171" s="2">
        <v>2.37</v>
      </c>
      <c r="E171" s="306" t="s">
        <v>419</v>
      </c>
    </row>
    <row r="172" spans="1:5" x14ac:dyDescent="0.25">
      <c r="A172" s="645" t="s">
        <v>1163</v>
      </c>
      <c r="B172" s="342" t="s">
        <v>643</v>
      </c>
      <c r="C172" s="2">
        <v>19201801133</v>
      </c>
      <c r="D172" s="2">
        <v>2.2999999999999998</v>
      </c>
      <c r="E172" s="306" t="s">
        <v>419</v>
      </c>
    </row>
    <row r="173" spans="1:5" x14ac:dyDescent="0.25">
      <c r="A173" s="645" t="s">
        <v>1163</v>
      </c>
      <c r="B173" s="342" t="s">
        <v>643</v>
      </c>
      <c r="C173" s="2">
        <v>19201801126</v>
      </c>
      <c r="D173" s="2">
        <v>2.23</v>
      </c>
      <c r="E173" s="306" t="s">
        <v>419</v>
      </c>
    </row>
    <row r="174" spans="1:5" x14ac:dyDescent="0.25">
      <c r="A174" s="645" t="s">
        <v>1163</v>
      </c>
      <c r="B174" s="342" t="s">
        <v>643</v>
      </c>
      <c r="C174" s="2">
        <v>19201801121</v>
      </c>
      <c r="D174" s="2">
        <v>2.21</v>
      </c>
      <c r="E174" s="306" t="s">
        <v>419</v>
      </c>
    </row>
    <row r="175" spans="1:5" x14ac:dyDescent="0.25">
      <c r="A175" s="610" t="s">
        <v>1163</v>
      </c>
      <c r="B175" s="342" t="s">
        <v>643</v>
      </c>
      <c r="C175" s="2">
        <v>19201801143</v>
      </c>
      <c r="D175" s="2">
        <v>2.09</v>
      </c>
      <c r="E175" s="306" t="s">
        <v>419</v>
      </c>
    </row>
    <row r="176" spans="1:5" x14ac:dyDescent="0.25">
      <c r="A176" s="645" t="s">
        <v>1163</v>
      </c>
      <c r="B176" s="342" t="s">
        <v>643</v>
      </c>
      <c r="C176" s="2">
        <v>19201801142</v>
      </c>
      <c r="D176" s="2">
        <v>1.89</v>
      </c>
      <c r="E176" s="310" t="s">
        <v>420</v>
      </c>
    </row>
    <row r="177" spans="1:5" x14ac:dyDescent="0.25">
      <c r="A177" s="645" t="s">
        <v>1163</v>
      </c>
      <c r="B177" s="342" t="s">
        <v>643</v>
      </c>
      <c r="C177" s="2">
        <v>19201801165</v>
      </c>
      <c r="D177" s="2">
        <v>1.55</v>
      </c>
      <c r="E177" s="310" t="s">
        <v>420</v>
      </c>
    </row>
    <row r="178" spans="1:5" x14ac:dyDescent="0.25">
      <c r="A178" s="645" t="s">
        <v>1163</v>
      </c>
      <c r="B178" s="342" t="s">
        <v>641</v>
      </c>
      <c r="C178" s="2">
        <v>19201801118</v>
      </c>
      <c r="D178" s="2">
        <v>3.03</v>
      </c>
      <c r="E178" s="306" t="s">
        <v>419</v>
      </c>
    </row>
    <row r="179" spans="1:5" x14ac:dyDescent="0.25">
      <c r="A179" s="645" t="s">
        <v>1163</v>
      </c>
      <c r="B179" s="342" t="s">
        <v>641</v>
      </c>
      <c r="C179" s="2">
        <v>19201801123</v>
      </c>
      <c r="D179" s="2">
        <v>2.98</v>
      </c>
      <c r="E179" s="306" t="s">
        <v>419</v>
      </c>
    </row>
    <row r="180" spans="1:5" x14ac:dyDescent="0.25">
      <c r="A180" s="610" t="s">
        <v>1163</v>
      </c>
      <c r="B180" s="342" t="s">
        <v>641</v>
      </c>
      <c r="C180" s="2">
        <v>19201801159</v>
      </c>
      <c r="D180" s="2">
        <v>2.76</v>
      </c>
      <c r="E180" s="306" t="s">
        <v>419</v>
      </c>
    </row>
    <row r="181" spans="1:5" x14ac:dyDescent="0.25">
      <c r="A181" s="645" t="s">
        <v>1163</v>
      </c>
      <c r="B181" s="342" t="s">
        <v>641</v>
      </c>
      <c r="C181" s="2">
        <v>19201801104</v>
      </c>
      <c r="D181" s="2">
        <v>2.58</v>
      </c>
      <c r="E181" s="306" t="s">
        <v>419</v>
      </c>
    </row>
    <row r="182" spans="1:5" x14ac:dyDescent="0.25">
      <c r="A182" s="645" t="s">
        <v>1163</v>
      </c>
      <c r="B182" s="342" t="s">
        <v>641</v>
      </c>
      <c r="C182" s="2">
        <v>19201801116</v>
      </c>
      <c r="D182" s="2">
        <v>2.4</v>
      </c>
      <c r="E182" s="306" t="s">
        <v>419</v>
      </c>
    </row>
    <row r="183" spans="1:5" x14ac:dyDescent="0.25">
      <c r="A183" s="645" t="s">
        <v>1163</v>
      </c>
      <c r="B183" s="342" t="s">
        <v>641</v>
      </c>
      <c r="C183" s="2">
        <v>19201801129</v>
      </c>
      <c r="D183" s="2">
        <v>2.14</v>
      </c>
      <c r="E183" s="306" t="s">
        <v>419</v>
      </c>
    </row>
    <row r="184" spans="1:5" x14ac:dyDescent="0.25">
      <c r="A184" s="645" t="s">
        <v>1163</v>
      </c>
      <c r="B184" s="342" t="s">
        <v>641</v>
      </c>
      <c r="C184" s="2">
        <v>19201801157</v>
      </c>
      <c r="D184" s="2">
        <v>2.0499999999999998</v>
      </c>
      <c r="E184" s="306" t="s">
        <v>419</v>
      </c>
    </row>
    <row r="185" spans="1:5" x14ac:dyDescent="0.25">
      <c r="A185" s="610" t="s">
        <v>1163</v>
      </c>
      <c r="B185" s="342" t="s">
        <v>641</v>
      </c>
      <c r="C185" s="2">
        <v>19201801147</v>
      </c>
      <c r="D185" s="2">
        <v>1.93</v>
      </c>
      <c r="E185" s="310" t="s">
        <v>420</v>
      </c>
    </row>
    <row r="186" spans="1:5" x14ac:dyDescent="0.25">
      <c r="A186" s="645" t="s">
        <v>1163</v>
      </c>
      <c r="B186" s="342" t="s">
        <v>641</v>
      </c>
      <c r="C186" s="2">
        <v>19201801153</v>
      </c>
      <c r="D186" s="2">
        <v>1.85</v>
      </c>
      <c r="E186" s="310" t="s">
        <v>420</v>
      </c>
    </row>
    <row r="187" spans="1:5" x14ac:dyDescent="0.25">
      <c r="A187" s="645" t="s">
        <v>1163</v>
      </c>
      <c r="B187" s="342" t="s">
        <v>641</v>
      </c>
      <c r="C187" s="2">
        <v>19201801148</v>
      </c>
      <c r="D187" s="2">
        <v>1.51</v>
      </c>
      <c r="E187" s="310" t="s">
        <v>420</v>
      </c>
    </row>
    <row r="188" spans="1:5" x14ac:dyDescent="0.25">
      <c r="A188" s="645" t="s">
        <v>1163</v>
      </c>
      <c r="B188" s="342" t="s">
        <v>291</v>
      </c>
      <c r="C188" s="2">
        <v>19201801134</v>
      </c>
      <c r="D188" s="2">
        <v>3.29</v>
      </c>
      <c r="E188" s="306" t="s">
        <v>419</v>
      </c>
    </row>
    <row r="189" spans="1:5" x14ac:dyDescent="0.25">
      <c r="A189" s="645" t="s">
        <v>1163</v>
      </c>
      <c r="B189" s="342" t="s">
        <v>291</v>
      </c>
      <c r="C189" s="2">
        <v>19201801164</v>
      </c>
      <c r="D189" s="2">
        <v>3.07</v>
      </c>
      <c r="E189" s="306" t="s">
        <v>419</v>
      </c>
    </row>
    <row r="190" spans="1:5" x14ac:dyDescent="0.25">
      <c r="A190" s="610" t="s">
        <v>1163</v>
      </c>
      <c r="B190" s="342" t="s">
        <v>291</v>
      </c>
      <c r="C190" s="2">
        <v>19201801132</v>
      </c>
      <c r="D190" s="2">
        <v>3.06</v>
      </c>
      <c r="E190" s="306" t="s">
        <v>419</v>
      </c>
    </row>
    <row r="191" spans="1:5" x14ac:dyDescent="0.25">
      <c r="A191" s="645" t="s">
        <v>1163</v>
      </c>
      <c r="B191" s="342" t="s">
        <v>291</v>
      </c>
      <c r="C191" s="2">
        <v>19201801160</v>
      </c>
      <c r="D191" s="2">
        <v>3.04</v>
      </c>
      <c r="E191" s="306" t="s">
        <v>419</v>
      </c>
    </row>
    <row r="192" spans="1:5" x14ac:dyDescent="0.25">
      <c r="A192" s="645" t="s">
        <v>1163</v>
      </c>
      <c r="B192" s="342" t="s">
        <v>291</v>
      </c>
      <c r="C192" s="2">
        <v>19201801137</v>
      </c>
      <c r="D192" s="2">
        <v>3.03</v>
      </c>
      <c r="E192" s="306" t="s">
        <v>419</v>
      </c>
    </row>
    <row r="193" spans="1:5" x14ac:dyDescent="0.25">
      <c r="A193" s="645" t="s">
        <v>1163</v>
      </c>
      <c r="B193" s="342" t="s">
        <v>291</v>
      </c>
      <c r="C193" s="2">
        <v>19201801152</v>
      </c>
      <c r="D193" s="2">
        <v>3.01</v>
      </c>
      <c r="E193" s="306" t="s">
        <v>419</v>
      </c>
    </row>
    <row r="194" spans="1:5" x14ac:dyDescent="0.25">
      <c r="A194" s="645" t="s">
        <v>1163</v>
      </c>
      <c r="B194" s="342" t="s">
        <v>291</v>
      </c>
      <c r="C194" s="2">
        <v>19201801140</v>
      </c>
      <c r="D194" s="2">
        <v>2.98</v>
      </c>
      <c r="E194" s="306" t="s">
        <v>419</v>
      </c>
    </row>
    <row r="195" spans="1:5" x14ac:dyDescent="0.25">
      <c r="A195" s="610" t="s">
        <v>1163</v>
      </c>
      <c r="B195" s="342" t="s">
        <v>291</v>
      </c>
      <c r="C195" s="2">
        <v>19201801112</v>
      </c>
      <c r="D195" s="2">
        <v>2.92</v>
      </c>
      <c r="E195" s="306" t="s">
        <v>419</v>
      </c>
    </row>
    <row r="196" spans="1:5" x14ac:dyDescent="0.25">
      <c r="A196" s="645" t="s">
        <v>1163</v>
      </c>
      <c r="B196" s="342" t="s">
        <v>291</v>
      </c>
      <c r="C196" s="2">
        <v>19201801094</v>
      </c>
      <c r="D196" s="2">
        <v>2.87</v>
      </c>
      <c r="E196" s="306" t="s">
        <v>419</v>
      </c>
    </row>
    <row r="197" spans="1:5" x14ac:dyDescent="0.25">
      <c r="A197" s="645" t="s">
        <v>1163</v>
      </c>
      <c r="B197" s="342" t="s">
        <v>291</v>
      </c>
      <c r="C197" s="2">
        <v>19201801095</v>
      </c>
      <c r="D197" s="2">
        <v>2.87</v>
      </c>
      <c r="E197" s="306" t="s">
        <v>419</v>
      </c>
    </row>
    <row r="198" spans="1:5" x14ac:dyDescent="0.25">
      <c r="A198" s="645" t="s">
        <v>1163</v>
      </c>
      <c r="B198" s="342" t="s">
        <v>291</v>
      </c>
      <c r="C198" s="2">
        <v>19201801115</v>
      </c>
      <c r="D198" s="2">
        <v>2.85</v>
      </c>
      <c r="E198" s="306" t="s">
        <v>419</v>
      </c>
    </row>
    <row r="199" spans="1:5" x14ac:dyDescent="0.25">
      <c r="A199" s="645" t="s">
        <v>1163</v>
      </c>
      <c r="B199" s="342" t="s">
        <v>291</v>
      </c>
      <c r="C199" s="2">
        <v>19201801125</v>
      </c>
      <c r="D199" s="2">
        <v>2.79</v>
      </c>
      <c r="E199" s="306" t="s">
        <v>419</v>
      </c>
    </row>
    <row r="200" spans="1:5" x14ac:dyDescent="0.25">
      <c r="A200" s="610" t="s">
        <v>1163</v>
      </c>
      <c r="B200" s="342" t="s">
        <v>291</v>
      </c>
      <c r="C200" s="2">
        <v>19201801150</v>
      </c>
      <c r="D200" s="2">
        <v>2.35</v>
      </c>
      <c r="E200" s="306" t="s">
        <v>419</v>
      </c>
    </row>
    <row r="201" spans="1:5" x14ac:dyDescent="0.25">
      <c r="A201" s="645" t="s">
        <v>1163</v>
      </c>
      <c r="B201" s="342" t="s">
        <v>291</v>
      </c>
      <c r="C201" s="2">
        <v>19201801156</v>
      </c>
      <c r="D201" s="2">
        <v>2.2999999999999998</v>
      </c>
      <c r="E201" s="306" t="s">
        <v>419</v>
      </c>
    </row>
    <row r="202" spans="1:5" x14ac:dyDescent="0.25">
      <c r="A202" s="645" t="s">
        <v>1163</v>
      </c>
      <c r="B202" s="342" t="s">
        <v>291</v>
      </c>
      <c r="C202" s="2">
        <v>19201801110</v>
      </c>
      <c r="D202" s="2">
        <v>2.2400000000000002</v>
      </c>
      <c r="E202" s="306" t="s">
        <v>419</v>
      </c>
    </row>
    <row r="203" spans="1:5" x14ac:dyDescent="0.25">
      <c r="A203" s="645" t="s">
        <v>1163</v>
      </c>
      <c r="B203" s="342" t="s">
        <v>291</v>
      </c>
      <c r="C203" s="2">
        <v>19201801122</v>
      </c>
      <c r="D203" s="2">
        <v>2.19</v>
      </c>
      <c r="E203" s="306" t="s">
        <v>419</v>
      </c>
    </row>
    <row r="204" spans="1:5" x14ac:dyDescent="0.25">
      <c r="A204" s="645" t="s">
        <v>1163</v>
      </c>
      <c r="B204" s="342" t="s">
        <v>291</v>
      </c>
      <c r="C204" s="2">
        <v>19201801167</v>
      </c>
      <c r="D204" s="2">
        <v>2.1800000000000002</v>
      </c>
      <c r="E204" s="310" t="s">
        <v>420</v>
      </c>
    </row>
    <row r="205" spans="1:5" x14ac:dyDescent="0.25">
      <c r="A205" s="707" t="s">
        <v>1204</v>
      </c>
      <c r="B205" s="706" t="s">
        <v>643</v>
      </c>
      <c r="C205" s="647">
        <v>19201900751</v>
      </c>
      <c r="D205" s="647">
        <v>3.38</v>
      </c>
      <c r="E205" s="306" t="s">
        <v>419</v>
      </c>
    </row>
    <row r="206" spans="1:5" x14ac:dyDescent="0.25">
      <c r="A206" s="707" t="s">
        <v>1204</v>
      </c>
      <c r="B206" s="706" t="s">
        <v>643</v>
      </c>
      <c r="C206" s="647">
        <v>19201900783</v>
      </c>
      <c r="D206" s="647">
        <v>2.98</v>
      </c>
      <c r="E206" s="306" t="s">
        <v>419</v>
      </c>
    </row>
    <row r="207" spans="1:5" x14ac:dyDescent="0.25">
      <c r="A207" s="707" t="s">
        <v>1204</v>
      </c>
      <c r="B207" s="706" t="s">
        <v>643</v>
      </c>
      <c r="C207" s="647">
        <v>19201900800</v>
      </c>
      <c r="D207" s="647">
        <v>2.9</v>
      </c>
      <c r="E207" s="306" t="s">
        <v>419</v>
      </c>
    </row>
    <row r="208" spans="1:5" x14ac:dyDescent="0.25">
      <c r="A208" s="707" t="s">
        <v>1204</v>
      </c>
      <c r="B208" s="706" t="s">
        <v>643</v>
      </c>
      <c r="C208" s="647">
        <v>19201900757</v>
      </c>
      <c r="D208" s="647">
        <v>2.68</v>
      </c>
      <c r="E208" s="306" t="s">
        <v>419</v>
      </c>
    </row>
    <row r="209" spans="1:5" x14ac:dyDescent="0.25">
      <c r="A209" s="707" t="s">
        <v>1204</v>
      </c>
      <c r="B209" s="706" t="s">
        <v>643</v>
      </c>
      <c r="C209" s="647">
        <v>19201900788</v>
      </c>
      <c r="D209" s="647">
        <v>2.63</v>
      </c>
      <c r="E209" s="306" t="s">
        <v>419</v>
      </c>
    </row>
    <row r="210" spans="1:5" x14ac:dyDescent="0.25">
      <c r="A210" s="707" t="s">
        <v>1204</v>
      </c>
      <c r="B210" s="706" t="s">
        <v>643</v>
      </c>
      <c r="C210" s="647">
        <v>19201900737</v>
      </c>
      <c r="D210" s="647">
        <v>2.61</v>
      </c>
      <c r="E210" s="306" t="s">
        <v>419</v>
      </c>
    </row>
    <row r="211" spans="1:5" x14ac:dyDescent="0.25">
      <c r="A211" s="707" t="s">
        <v>1204</v>
      </c>
      <c r="B211" s="706" t="s">
        <v>643</v>
      </c>
      <c r="C211" s="647">
        <v>19201900746</v>
      </c>
      <c r="D211" s="647">
        <v>2.54</v>
      </c>
      <c r="E211" s="306" t="s">
        <v>419</v>
      </c>
    </row>
    <row r="212" spans="1:5" x14ac:dyDescent="0.25">
      <c r="A212" s="707" t="s">
        <v>1204</v>
      </c>
      <c r="B212" s="706" t="s">
        <v>643</v>
      </c>
      <c r="C212" s="647">
        <v>19201900733</v>
      </c>
      <c r="D212" s="647">
        <v>2.52</v>
      </c>
      <c r="E212" s="306" t="s">
        <v>419</v>
      </c>
    </row>
    <row r="213" spans="1:5" x14ac:dyDescent="0.25">
      <c r="A213" s="707" t="s">
        <v>1204</v>
      </c>
      <c r="B213" s="706" t="s">
        <v>643</v>
      </c>
      <c r="C213" s="647">
        <v>19201900785</v>
      </c>
      <c r="D213" s="647">
        <v>2.46</v>
      </c>
      <c r="E213" s="306" t="s">
        <v>419</v>
      </c>
    </row>
    <row r="214" spans="1:5" x14ac:dyDescent="0.25">
      <c r="A214" s="707" t="s">
        <v>1204</v>
      </c>
      <c r="B214" s="706" t="s">
        <v>643</v>
      </c>
      <c r="C214" s="647">
        <v>19201900790</v>
      </c>
      <c r="D214" s="647">
        <v>2.46</v>
      </c>
      <c r="E214" s="306" t="s">
        <v>419</v>
      </c>
    </row>
    <row r="215" spans="1:5" x14ac:dyDescent="0.25">
      <c r="A215" s="707" t="s">
        <v>1204</v>
      </c>
      <c r="B215" s="706" t="s">
        <v>643</v>
      </c>
      <c r="C215" s="647">
        <v>19201900764</v>
      </c>
      <c r="D215" s="647">
        <v>2.4500000000000002</v>
      </c>
      <c r="E215" s="306" t="s">
        <v>419</v>
      </c>
    </row>
    <row r="216" spans="1:5" x14ac:dyDescent="0.25">
      <c r="A216" s="707" t="s">
        <v>1204</v>
      </c>
      <c r="B216" s="706" t="s">
        <v>643</v>
      </c>
      <c r="C216" s="647">
        <v>19201900734</v>
      </c>
      <c r="D216" s="647">
        <v>2.37</v>
      </c>
      <c r="E216" s="306" t="s">
        <v>419</v>
      </c>
    </row>
    <row r="217" spans="1:5" x14ac:dyDescent="0.25">
      <c r="A217" s="707" t="s">
        <v>1204</v>
      </c>
      <c r="B217" s="706" t="s">
        <v>643</v>
      </c>
      <c r="C217" s="647">
        <v>19201900763</v>
      </c>
      <c r="D217" s="647">
        <v>2.34</v>
      </c>
      <c r="E217" s="306" t="s">
        <v>419</v>
      </c>
    </row>
    <row r="218" spans="1:5" x14ac:dyDescent="0.25">
      <c r="A218" s="707" t="s">
        <v>1204</v>
      </c>
      <c r="B218" s="706" t="s">
        <v>643</v>
      </c>
      <c r="C218" s="647">
        <v>19201900758</v>
      </c>
      <c r="D218" s="647">
        <v>2.2799999999999998</v>
      </c>
      <c r="E218" s="306" t="s">
        <v>419</v>
      </c>
    </row>
    <row r="219" spans="1:5" x14ac:dyDescent="0.25">
      <c r="A219" s="707" t="s">
        <v>1204</v>
      </c>
      <c r="B219" s="706" t="s">
        <v>643</v>
      </c>
      <c r="C219" s="647">
        <v>19201900776</v>
      </c>
      <c r="D219" s="647">
        <v>2.2200000000000002</v>
      </c>
      <c r="E219" s="306" t="s">
        <v>419</v>
      </c>
    </row>
    <row r="220" spans="1:5" x14ac:dyDescent="0.25">
      <c r="A220" s="707" t="s">
        <v>1204</v>
      </c>
      <c r="B220" s="706" t="s">
        <v>643</v>
      </c>
      <c r="C220" s="647">
        <v>19201900738</v>
      </c>
      <c r="D220" s="647">
        <v>2.21</v>
      </c>
      <c r="E220" s="306" t="s">
        <v>419</v>
      </c>
    </row>
    <row r="221" spans="1:5" x14ac:dyDescent="0.25">
      <c r="A221" s="707" t="s">
        <v>1204</v>
      </c>
      <c r="B221" s="706" t="s">
        <v>643</v>
      </c>
      <c r="C221" s="647">
        <v>19201900773</v>
      </c>
      <c r="D221" s="647">
        <v>2.19</v>
      </c>
      <c r="E221" s="306" t="s">
        <v>419</v>
      </c>
    </row>
    <row r="222" spans="1:5" x14ac:dyDescent="0.25">
      <c r="A222" s="707" t="s">
        <v>1204</v>
      </c>
      <c r="B222" s="706" t="s">
        <v>643</v>
      </c>
      <c r="C222" s="647">
        <v>19201900786</v>
      </c>
      <c r="D222" s="647">
        <v>2.16</v>
      </c>
      <c r="E222" s="306" t="s">
        <v>419</v>
      </c>
    </row>
    <row r="223" spans="1:5" x14ac:dyDescent="0.25">
      <c r="A223" s="707" t="s">
        <v>1204</v>
      </c>
      <c r="B223" s="706" t="s">
        <v>643</v>
      </c>
      <c r="C223" s="647">
        <v>19201900743</v>
      </c>
      <c r="D223" s="647">
        <v>2.1</v>
      </c>
      <c r="E223" s="306" t="s">
        <v>419</v>
      </c>
    </row>
    <row r="224" spans="1:5" x14ac:dyDescent="0.25">
      <c r="A224" s="707" t="s">
        <v>1204</v>
      </c>
      <c r="B224" s="706" t="s">
        <v>643</v>
      </c>
      <c r="C224" s="647">
        <v>19201900754</v>
      </c>
      <c r="D224" s="647">
        <v>2.06</v>
      </c>
      <c r="E224" s="306" t="s">
        <v>419</v>
      </c>
    </row>
    <row r="225" spans="1:5" x14ac:dyDescent="0.25">
      <c r="A225" s="707" t="s">
        <v>1204</v>
      </c>
      <c r="B225" s="706" t="s">
        <v>643</v>
      </c>
      <c r="C225" s="647">
        <v>19201900741</v>
      </c>
      <c r="D225" s="647">
        <v>2.0499999999999998</v>
      </c>
      <c r="E225" s="310" t="s">
        <v>420</v>
      </c>
    </row>
    <row r="226" spans="1:5" x14ac:dyDescent="0.25">
      <c r="A226" s="707" t="s">
        <v>1204</v>
      </c>
      <c r="B226" s="706" t="s">
        <v>643</v>
      </c>
      <c r="C226" s="647">
        <v>19201900767</v>
      </c>
      <c r="D226" s="647">
        <v>2.0299999999999998</v>
      </c>
      <c r="E226" s="310" t="s">
        <v>420</v>
      </c>
    </row>
    <row r="227" spans="1:5" x14ac:dyDescent="0.25">
      <c r="A227" s="707" t="s">
        <v>1204</v>
      </c>
      <c r="B227" s="706" t="s">
        <v>643</v>
      </c>
      <c r="C227" s="647">
        <v>19201900756</v>
      </c>
      <c r="D227" s="647">
        <v>2.02</v>
      </c>
      <c r="E227" s="310" t="s">
        <v>420</v>
      </c>
    </row>
    <row r="228" spans="1:5" x14ac:dyDescent="0.25">
      <c r="A228" s="707" t="s">
        <v>1204</v>
      </c>
      <c r="B228" s="706" t="s">
        <v>643</v>
      </c>
      <c r="C228" s="647">
        <v>19201900794</v>
      </c>
      <c r="D228" s="647">
        <v>2.0099999999999998</v>
      </c>
      <c r="E228" s="310" t="s">
        <v>420</v>
      </c>
    </row>
    <row r="229" spans="1:5" x14ac:dyDescent="0.25">
      <c r="A229" s="707" t="s">
        <v>1204</v>
      </c>
      <c r="B229" s="706" t="s">
        <v>643</v>
      </c>
      <c r="C229" s="647">
        <v>19201900801</v>
      </c>
      <c r="D229" s="647">
        <v>2.0099999999999998</v>
      </c>
      <c r="E229" s="310" t="s">
        <v>420</v>
      </c>
    </row>
    <row r="230" spans="1:5" x14ac:dyDescent="0.25">
      <c r="A230" s="707" t="s">
        <v>1204</v>
      </c>
      <c r="B230" s="706" t="s">
        <v>643</v>
      </c>
      <c r="C230" s="647">
        <v>19201900802</v>
      </c>
      <c r="D230" s="647">
        <v>2.0099999999999998</v>
      </c>
      <c r="E230" s="310" t="s">
        <v>420</v>
      </c>
    </row>
    <row r="231" spans="1:5" x14ac:dyDescent="0.25">
      <c r="A231" s="707" t="s">
        <v>1204</v>
      </c>
      <c r="B231" s="706" t="s">
        <v>643</v>
      </c>
      <c r="C231" s="647">
        <v>19201900735</v>
      </c>
      <c r="D231" s="647">
        <v>2</v>
      </c>
      <c r="E231" s="310" t="s">
        <v>420</v>
      </c>
    </row>
    <row r="232" spans="1:5" x14ac:dyDescent="0.25">
      <c r="A232" s="707" t="s">
        <v>1204</v>
      </c>
      <c r="B232" s="706" t="s">
        <v>643</v>
      </c>
      <c r="C232" s="647">
        <v>19201900766</v>
      </c>
      <c r="D232" s="647">
        <v>2</v>
      </c>
      <c r="E232" s="310" t="s">
        <v>420</v>
      </c>
    </row>
    <row r="233" spans="1:5" x14ac:dyDescent="0.25">
      <c r="A233" s="707" t="s">
        <v>1204</v>
      </c>
      <c r="B233" s="706" t="s">
        <v>643</v>
      </c>
      <c r="C233" s="647">
        <v>19201900781</v>
      </c>
      <c r="D233" s="647">
        <v>1.98</v>
      </c>
      <c r="E233" s="310" t="s">
        <v>420</v>
      </c>
    </row>
    <row r="234" spans="1:5" x14ac:dyDescent="0.25">
      <c r="A234" s="707" t="s">
        <v>1204</v>
      </c>
      <c r="B234" s="706" t="s">
        <v>643</v>
      </c>
      <c r="C234" s="647">
        <v>19201900771</v>
      </c>
      <c r="D234" s="647">
        <v>1.97</v>
      </c>
      <c r="E234" s="310" t="s">
        <v>420</v>
      </c>
    </row>
    <row r="235" spans="1:5" x14ac:dyDescent="0.25">
      <c r="A235" s="707" t="s">
        <v>1204</v>
      </c>
      <c r="B235" s="706" t="s">
        <v>643</v>
      </c>
      <c r="C235" s="647">
        <v>19201900770</v>
      </c>
      <c r="D235" s="647">
        <v>1.94</v>
      </c>
      <c r="E235" s="310" t="s">
        <v>420</v>
      </c>
    </row>
    <row r="236" spans="1:5" x14ac:dyDescent="0.25">
      <c r="A236" s="707" t="s">
        <v>1204</v>
      </c>
      <c r="B236" s="706" t="s">
        <v>643</v>
      </c>
      <c r="C236" s="647">
        <v>19201900797</v>
      </c>
      <c r="D236" s="647">
        <v>1.65</v>
      </c>
      <c r="E236" s="310" t="s">
        <v>420</v>
      </c>
    </row>
    <row r="237" spans="1:5" x14ac:dyDescent="0.25">
      <c r="A237" s="707" t="s">
        <v>1204</v>
      </c>
      <c r="B237" s="706" t="s">
        <v>641</v>
      </c>
      <c r="C237" s="647">
        <v>19201900780</v>
      </c>
      <c r="D237" s="647">
        <v>2.7</v>
      </c>
      <c r="E237" s="306" t="s">
        <v>419</v>
      </c>
    </row>
    <row r="238" spans="1:5" x14ac:dyDescent="0.25">
      <c r="A238" s="707" t="s">
        <v>1204</v>
      </c>
      <c r="B238" s="706" t="s">
        <v>641</v>
      </c>
      <c r="C238" s="647">
        <v>19201900762</v>
      </c>
      <c r="D238" s="647">
        <v>2.61</v>
      </c>
      <c r="E238" s="306" t="s">
        <v>419</v>
      </c>
    </row>
    <row r="239" spans="1:5" x14ac:dyDescent="0.25">
      <c r="A239" s="707" t="s">
        <v>1204</v>
      </c>
      <c r="B239" s="706" t="s">
        <v>641</v>
      </c>
      <c r="C239" s="647">
        <v>19201900775</v>
      </c>
      <c r="D239" s="647">
        <v>2.59</v>
      </c>
      <c r="E239" s="306" t="s">
        <v>419</v>
      </c>
    </row>
    <row r="240" spans="1:5" x14ac:dyDescent="0.25">
      <c r="A240" s="707" t="s">
        <v>1204</v>
      </c>
      <c r="B240" s="706" t="s">
        <v>641</v>
      </c>
      <c r="C240" s="647">
        <v>19201900759</v>
      </c>
      <c r="D240" s="647">
        <v>2.4300000000000002</v>
      </c>
      <c r="E240" s="306" t="s">
        <v>419</v>
      </c>
    </row>
    <row r="241" spans="1:7" x14ac:dyDescent="0.25">
      <c r="A241" s="707" t="s">
        <v>1204</v>
      </c>
      <c r="B241" s="706" t="s">
        <v>641</v>
      </c>
      <c r="C241" s="647">
        <v>19201900761</v>
      </c>
      <c r="D241" s="647">
        <v>2.27</v>
      </c>
      <c r="E241" s="306" t="s">
        <v>419</v>
      </c>
    </row>
    <row r="242" spans="1:7" x14ac:dyDescent="0.25">
      <c r="A242" s="707" t="s">
        <v>1204</v>
      </c>
      <c r="B242" s="706" t="s">
        <v>641</v>
      </c>
      <c r="C242" s="647">
        <v>19201900796</v>
      </c>
      <c r="D242" s="647">
        <v>2.15</v>
      </c>
      <c r="E242" s="306" t="s">
        <v>419</v>
      </c>
    </row>
    <row r="243" spans="1:7" x14ac:dyDescent="0.25">
      <c r="A243" s="707" t="s">
        <v>1204</v>
      </c>
      <c r="B243" s="706" t="s">
        <v>641</v>
      </c>
      <c r="C243" s="647">
        <v>19201900782</v>
      </c>
      <c r="D243" s="647">
        <v>2.13</v>
      </c>
      <c r="E243" s="306" t="s">
        <v>419</v>
      </c>
    </row>
    <row r="244" spans="1:7" x14ac:dyDescent="0.25">
      <c r="A244" s="707" t="s">
        <v>1204</v>
      </c>
      <c r="B244" s="706" t="s">
        <v>641</v>
      </c>
      <c r="C244" s="647">
        <v>19201900768</v>
      </c>
      <c r="D244" s="647">
        <v>1.99</v>
      </c>
      <c r="E244" s="310" t="s">
        <v>420</v>
      </c>
    </row>
    <row r="245" spans="1:7" x14ac:dyDescent="0.25">
      <c r="A245" s="707" t="s">
        <v>1204</v>
      </c>
      <c r="B245" s="706" t="s">
        <v>641</v>
      </c>
      <c r="C245" s="647">
        <v>19201900777</v>
      </c>
      <c r="D245" s="647">
        <v>1.95</v>
      </c>
      <c r="E245" s="310" t="s">
        <v>420</v>
      </c>
    </row>
    <row r="246" spans="1:7" x14ac:dyDescent="0.25">
      <c r="A246" s="707" t="s">
        <v>1204</v>
      </c>
      <c r="B246" s="706" t="s">
        <v>641</v>
      </c>
      <c r="C246" s="647">
        <v>19201900769</v>
      </c>
      <c r="D246" s="647">
        <v>1.94</v>
      </c>
      <c r="E246" s="310" t="s">
        <v>420</v>
      </c>
    </row>
    <row r="247" spans="1:7" x14ac:dyDescent="0.25">
      <c r="A247" t="s">
        <v>1264</v>
      </c>
      <c r="B247" t="s">
        <v>1265</v>
      </c>
      <c r="C247" s="647">
        <v>19202000821</v>
      </c>
      <c r="D247" s="647">
        <v>3.33</v>
      </c>
      <c r="E247" s="306" t="s">
        <v>419</v>
      </c>
      <c r="F247" s="647"/>
      <c r="G247" s="647"/>
    </row>
    <row r="248" spans="1:7" x14ac:dyDescent="0.25">
      <c r="A248" s="647" t="s">
        <v>1264</v>
      </c>
      <c r="B248" s="647" t="s">
        <v>1266</v>
      </c>
      <c r="C248" s="647">
        <v>19202000836</v>
      </c>
      <c r="D248" s="647">
        <v>3.05</v>
      </c>
      <c r="E248" s="306" t="s">
        <v>419</v>
      </c>
      <c r="F248" s="647"/>
      <c r="G248" s="647"/>
    </row>
    <row r="249" spans="1:7" x14ac:dyDescent="0.25">
      <c r="A249" s="647" t="s">
        <v>1264</v>
      </c>
      <c r="B249" s="647" t="s">
        <v>1265</v>
      </c>
      <c r="C249" s="647">
        <v>19202000815</v>
      </c>
      <c r="D249" s="647">
        <v>2.95</v>
      </c>
      <c r="E249" s="306" t="s">
        <v>419</v>
      </c>
      <c r="F249" s="647"/>
      <c r="G249" s="647"/>
    </row>
    <row r="250" spans="1:7" x14ac:dyDescent="0.25">
      <c r="A250" s="647" t="s">
        <v>1264</v>
      </c>
      <c r="B250" s="647" t="s">
        <v>1266</v>
      </c>
      <c r="C250" s="647">
        <v>19202000820</v>
      </c>
      <c r="D250" s="647">
        <v>2.86</v>
      </c>
      <c r="E250" s="306" t="s">
        <v>419</v>
      </c>
      <c r="F250" s="647"/>
      <c r="G250" s="647"/>
    </row>
    <row r="251" spans="1:7" x14ac:dyDescent="0.25">
      <c r="A251" s="647" t="s">
        <v>1264</v>
      </c>
      <c r="B251" s="647" t="s">
        <v>1265</v>
      </c>
      <c r="C251" s="647">
        <v>19202000844</v>
      </c>
      <c r="D251" s="647">
        <v>2.81</v>
      </c>
      <c r="E251" s="306" t="s">
        <v>419</v>
      </c>
      <c r="F251" s="647"/>
      <c r="G251" s="647"/>
    </row>
    <row r="252" spans="1:7" x14ac:dyDescent="0.25">
      <c r="A252" s="647" t="s">
        <v>1264</v>
      </c>
      <c r="B252" s="647" t="s">
        <v>1266</v>
      </c>
      <c r="C252" s="647">
        <v>19202000827</v>
      </c>
      <c r="D252" s="647">
        <v>2.72</v>
      </c>
      <c r="E252" s="306" t="s">
        <v>419</v>
      </c>
      <c r="F252" s="647"/>
      <c r="G252" s="647"/>
    </row>
    <row r="253" spans="1:7" x14ac:dyDescent="0.25">
      <c r="A253" s="647" t="s">
        <v>1264</v>
      </c>
      <c r="B253" s="647" t="s">
        <v>1265</v>
      </c>
      <c r="C253" s="647">
        <v>19202000824</v>
      </c>
      <c r="D253" s="647">
        <v>2.71</v>
      </c>
      <c r="E253" s="306" t="s">
        <v>419</v>
      </c>
      <c r="F253" s="647"/>
      <c r="G253" s="647"/>
    </row>
    <row r="254" spans="1:7" x14ac:dyDescent="0.25">
      <c r="A254" s="647" t="s">
        <v>1264</v>
      </c>
      <c r="B254" s="647" t="s">
        <v>1266</v>
      </c>
      <c r="C254" s="647">
        <v>19202000831</v>
      </c>
      <c r="D254" s="647">
        <v>2.71</v>
      </c>
      <c r="E254" s="306" t="s">
        <v>419</v>
      </c>
      <c r="F254" s="647"/>
      <c r="G254" s="647"/>
    </row>
    <row r="255" spans="1:7" x14ac:dyDescent="0.25">
      <c r="A255" s="647" t="s">
        <v>1264</v>
      </c>
      <c r="B255" s="647" t="s">
        <v>1265</v>
      </c>
      <c r="C255" s="647">
        <v>19202000828</v>
      </c>
      <c r="D255" s="647">
        <v>2.67</v>
      </c>
      <c r="E255" s="306" t="s">
        <v>419</v>
      </c>
      <c r="F255" s="647"/>
      <c r="G255" s="647"/>
    </row>
    <row r="256" spans="1:7" x14ac:dyDescent="0.25">
      <c r="A256" s="647" t="s">
        <v>1264</v>
      </c>
      <c r="B256" s="647" t="s">
        <v>1266</v>
      </c>
      <c r="C256" s="647">
        <v>19202000822</v>
      </c>
      <c r="D256" s="647">
        <v>2.59</v>
      </c>
      <c r="E256" s="306" t="s">
        <v>419</v>
      </c>
      <c r="F256" s="647"/>
      <c r="G256" s="647"/>
    </row>
    <row r="257" spans="1:7" x14ac:dyDescent="0.25">
      <c r="A257" s="647" t="s">
        <v>1264</v>
      </c>
      <c r="B257" s="647" t="s">
        <v>1265</v>
      </c>
      <c r="C257" s="647">
        <v>19202000838</v>
      </c>
      <c r="D257" s="647">
        <v>2.54</v>
      </c>
      <c r="E257" s="306" t="s">
        <v>419</v>
      </c>
      <c r="F257" s="647"/>
      <c r="G257" s="647"/>
    </row>
    <row r="258" spans="1:7" x14ac:dyDescent="0.25">
      <c r="A258" s="647" t="s">
        <v>1264</v>
      </c>
      <c r="B258" s="647" t="s">
        <v>1266</v>
      </c>
      <c r="C258" s="647">
        <v>19202000832</v>
      </c>
      <c r="D258" s="647">
        <v>2.5299999999999998</v>
      </c>
      <c r="E258" s="306" t="s">
        <v>419</v>
      </c>
      <c r="F258" s="647"/>
      <c r="G258" s="647"/>
    </row>
    <row r="259" spans="1:7" x14ac:dyDescent="0.25">
      <c r="A259" s="647" t="s">
        <v>1264</v>
      </c>
      <c r="B259" s="647" t="s">
        <v>1265</v>
      </c>
      <c r="C259" s="647">
        <v>19202000834</v>
      </c>
      <c r="D259" s="647">
        <v>2.5099999999999998</v>
      </c>
      <c r="E259" s="306" t="s">
        <v>419</v>
      </c>
      <c r="F259" s="647"/>
      <c r="G259" s="647"/>
    </row>
    <row r="260" spans="1:7" x14ac:dyDescent="0.25">
      <c r="A260" s="647" t="s">
        <v>1264</v>
      </c>
      <c r="B260" s="647" t="s">
        <v>1266</v>
      </c>
      <c r="C260" s="647">
        <v>19202000829</v>
      </c>
      <c r="D260" s="647">
        <v>2.4900000000000002</v>
      </c>
      <c r="E260" s="306" t="s">
        <v>419</v>
      </c>
      <c r="F260" s="647"/>
      <c r="G260" s="647"/>
    </row>
    <row r="261" spans="1:7" x14ac:dyDescent="0.25">
      <c r="A261" s="647" t="s">
        <v>1264</v>
      </c>
      <c r="B261" s="647" t="s">
        <v>1266</v>
      </c>
      <c r="C261" s="647">
        <v>19202000848</v>
      </c>
      <c r="D261" s="647">
        <v>2.48</v>
      </c>
      <c r="E261" s="306" t="s">
        <v>419</v>
      </c>
      <c r="F261" s="647"/>
      <c r="G261" s="647"/>
    </row>
    <row r="262" spans="1:7" x14ac:dyDescent="0.25">
      <c r="A262" s="647" t="s">
        <v>1264</v>
      </c>
      <c r="B262" s="647" t="s">
        <v>1265</v>
      </c>
      <c r="C262" s="647">
        <v>19202000796</v>
      </c>
      <c r="D262" s="647">
        <v>2.4700000000000002</v>
      </c>
      <c r="E262" s="306" t="s">
        <v>419</v>
      </c>
      <c r="F262" s="647"/>
      <c r="G262" s="647"/>
    </row>
    <row r="263" spans="1:7" x14ac:dyDescent="0.25">
      <c r="A263" s="647" t="s">
        <v>1264</v>
      </c>
      <c r="B263" s="647" t="s">
        <v>1266</v>
      </c>
      <c r="C263" s="647">
        <v>19202000793</v>
      </c>
      <c r="D263" s="647">
        <v>2.39</v>
      </c>
      <c r="E263" s="306" t="s">
        <v>419</v>
      </c>
      <c r="F263" s="647"/>
      <c r="G263" s="647"/>
    </row>
    <row r="264" spans="1:7" x14ac:dyDescent="0.25">
      <c r="A264" s="647" t="s">
        <v>1264</v>
      </c>
      <c r="B264" s="647" t="s">
        <v>1265</v>
      </c>
      <c r="C264" s="647">
        <v>19202000817</v>
      </c>
      <c r="D264" s="647">
        <v>2.38</v>
      </c>
      <c r="E264" s="306" t="s">
        <v>419</v>
      </c>
      <c r="F264" s="647"/>
      <c r="G264" s="647"/>
    </row>
    <row r="265" spans="1:7" x14ac:dyDescent="0.25">
      <c r="A265" s="647" t="s">
        <v>1264</v>
      </c>
      <c r="B265" s="647" t="s">
        <v>1266</v>
      </c>
      <c r="C265" s="647">
        <v>19202000851</v>
      </c>
      <c r="D265" s="647">
        <v>2.34</v>
      </c>
      <c r="E265" s="306" t="s">
        <v>419</v>
      </c>
      <c r="F265" s="647"/>
      <c r="G265" s="647"/>
    </row>
    <row r="266" spans="1:7" x14ac:dyDescent="0.25">
      <c r="A266" s="647" t="s">
        <v>1264</v>
      </c>
      <c r="B266" s="647" t="s">
        <v>1265</v>
      </c>
      <c r="C266" s="647">
        <v>19202000818</v>
      </c>
      <c r="D266" s="647">
        <v>2.31</v>
      </c>
      <c r="E266" s="310" t="s">
        <v>420</v>
      </c>
      <c r="F266" s="647"/>
      <c r="G266" s="647"/>
    </row>
    <row r="267" spans="1:7" x14ac:dyDescent="0.25">
      <c r="A267" s="647" t="s">
        <v>1264</v>
      </c>
      <c r="B267" s="647" t="s">
        <v>1266</v>
      </c>
      <c r="C267" s="647">
        <v>19202000823</v>
      </c>
      <c r="D267" s="647">
        <v>2.16</v>
      </c>
      <c r="E267" s="310" t="s">
        <v>420</v>
      </c>
      <c r="F267" s="647"/>
      <c r="G267" s="647"/>
    </row>
    <row r="268" spans="1:7" x14ac:dyDescent="0.25">
      <c r="A268" s="647" t="s">
        <v>1264</v>
      </c>
      <c r="B268" s="647" t="s">
        <v>1265</v>
      </c>
      <c r="C268" s="647">
        <v>19202000826</v>
      </c>
      <c r="D268" s="647">
        <v>2.12</v>
      </c>
      <c r="E268" s="310" t="s">
        <v>420</v>
      </c>
      <c r="F268" s="647"/>
      <c r="G268" s="647"/>
    </row>
    <row r="269" spans="1:7" x14ac:dyDescent="0.25">
      <c r="A269" s="647" t="s">
        <v>1264</v>
      </c>
      <c r="B269" s="647" t="s">
        <v>1266</v>
      </c>
      <c r="C269" s="647">
        <v>19202000825</v>
      </c>
      <c r="D269" s="647">
        <v>2.04</v>
      </c>
      <c r="E269" s="310" t="s">
        <v>420</v>
      </c>
      <c r="F269" s="647"/>
      <c r="G269" s="647"/>
    </row>
    <row r="270" spans="1:7" x14ac:dyDescent="0.25">
      <c r="A270" s="647" t="s">
        <v>1264</v>
      </c>
      <c r="B270" s="647" t="s">
        <v>1266</v>
      </c>
      <c r="C270" s="647">
        <v>19202000819</v>
      </c>
      <c r="D270" s="647">
        <v>2.0299999999999998</v>
      </c>
      <c r="E270" s="310" t="s">
        <v>420</v>
      </c>
      <c r="F270" s="647"/>
      <c r="G270" s="647"/>
    </row>
    <row r="271" spans="1:7" x14ac:dyDescent="0.25">
      <c r="A271" s="647" t="s">
        <v>1264</v>
      </c>
      <c r="B271" s="647" t="s">
        <v>1265</v>
      </c>
      <c r="C271" s="647">
        <v>19202000830</v>
      </c>
      <c r="D271" s="647">
        <v>2.0099999999999998</v>
      </c>
      <c r="E271" s="310" t="s">
        <v>420</v>
      </c>
      <c r="F271" s="647"/>
      <c r="G271" s="647"/>
    </row>
    <row r="272" spans="1:7" x14ac:dyDescent="0.25">
      <c r="A272" s="647" t="s">
        <v>1264</v>
      </c>
      <c r="B272" s="647" t="s">
        <v>1266</v>
      </c>
      <c r="C272" s="647">
        <v>19202000855</v>
      </c>
      <c r="D272" s="647">
        <v>2.0099999999999998</v>
      </c>
      <c r="E272" s="310" t="s">
        <v>420</v>
      </c>
      <c r="F272" s="647"/>
      <c r="G272" s="647"/>
    </row>
    <row r="273" spans="1:5" x14ac:dyDescent="0.25">
      <c r="A273" s="647" t="s">
        <v>1339</v>
      </c>
      <c r="B273" s="647" t="s">
        <v>1340</v>
      </c>
      <c r="C273" s="6">
        <v>19202100410</v>
      </c>
      <c r="D273" s="818">
        <v>3.34</v>
      </c>
      <c r="E273" s="306" t="s">
        <v>419</v>
      </c>
    </row>
    <row r="274" spans="1:5" x14ac:dyDescent="0.25">
      <c r="A274" s="647" t="s">
        <v>1339</v>
      </c>
      <c r="B274" s="647" t="s">
        <v>1340</v>
      </c>
      <c r="C274" s="6">
        <v>19202100419</v>
      </c>
      <c r="D274" s="818">
        <v>3.26</v>
      </c>
      <c r="E274" s="306" t="s">
        <v>419</v>
      </c>
    </row>
    <row r="275" spans="1:5" x14ac:dyDescent="0.25">
      <c r="A275" s="647" t="s">
        <v>1339</v>
      </c>
      <c r="B275" s="647" t="s">
        <v>1340</v>
      </c>
      <c r="C275" s="6">
        <v>19202100450</v>
      </c>
      <c r="D275" s="818">
        <v>3.14</v>
      </c>
      <c r="E275" s="306" t="s">
        <v>419</v>
      </c>
    </row>
    <row r="276" spans="1:5" x14ac:dyDescent="0.25">
      <c r="A276" s="647" t="s">
        <v>1339</v>
      </c>
      <c r="B276" s="647" t="s">
        <v>1340</v>
      </c>
      <c r="C276" s="6">
        <v>19202100421</v>
      </c>
      <c r="D276" s="818">
        <v>3.12</v>
      </c>
      <c r="E276" s="306" t="s">
        <v>419</v>
      </c>
    </row>
    <row r="277" spans="1:5" x14ac:dyDescent="0.25">
      <c r="A277" s="647" t="s">
        <v>1339</v>
      </c>
      <c r="B277" s="647" t="s">
        <v>1340</v>
      </c>
      <c r="C277" s="6">
        <v>19202100472</v>
      </c>
      <c r="D277" s="818">
        <v>3.07</v>
      </c>
      <c r="E277" s="306" t="s">
        <v>419</v>
      </c>
    </row>
    <row r="278" spans="1:5" x14ac:dyDescent="0.25">
      <c r="A278" s="647" t="s">
        <v>1339</v>
      </c>
      <c r="B278" s="647" t="s">
        <v>1340</v>
      </c>
      <c r="C278" s="6">
        <v>19202100436</v>
      </c>
      <c r="D278" s="818">
        <v>2.71</v>
      </c>
      <c r="E278" s="798" t="s">
        <v>419</v>
      </c>
    </row>
    <row r="279" spans="1:5" x14ac:dyDescent="0.25">
      <c r="A279" s="647" t="s">
        <v>1339</v>
      </c>
      <c r="B279" s="647" t="s">
        <v>1340</v>
      </c>
      <c r="C279" s="6">
        <v>19202100424</v>
      </c>
      <c r="D279" s="818">
        <v>1.89</v>
      </c>
      <c r="E279" s="819" t="s">
        <v>420</v>
      </c>
    </row>
    <row r="280" spans="1:5" x14ac:dyDescent="0.25">
      <c r="A280" s="647" t="s">
        <v>1339</v>
      </c>
      <c r="B280" s="647" t="s">
        <v>1265</v>
      </c>
      <c r="C280" s="6">
        <v>19202100429</v>
      </c>
      <c r="D280" s="6">
        <v>3.05</v>
      </c>
      <c r="E280" s="306" t="s">
        <v>419</v>
      </c>
    </row>
    <row r="281" spans="1:5" x14ac:dyDescent="0.25">
      <c r="A281" s="647" t="s">
        <v>1339</v>
      </c>
      <c r="B281" s="647" t="s">
        <v>1265</v>
      </c>
      <c r="C281" s="6">
        <v>19202100463</v>
      </c>
      <c r="D281" s="6">
        <v>2.79</v>
      </c>
      <c r="E281" s="306" t="s">
        <v>419</v>
      </c>
    </row>
    <row r="282" spans="1:5" x14ac:dyDescent="0.25">
      <c r="A282" s="647" t="s">
        <v>1339</v>
      </c>
      <c r="B282" s="647" t="s">
        <v>1265</v>
      </c>
      <c r="C282" s="6">
        <v>19202100462</v>
      </c>
      <c r="D282" s="6">
        <v>2.73</v>
      </c>
      <c r="E282" s="306" t="s">
        <v>419</v>
      </c>
    </row>
    <row r="283" spans="1:5" x14ac:dyDescent="0.25">
      <c r="A283" s="647" t="s">
        <v>1339</v>
      </c>
      <c r="B283" s="647" t="s">
        <v>1265</v>
      </c>
      <c r="C283" s="6">
        <v>19202100442</v>
      </c>
      <c r="D283" s="6">
        <v>2.61</v>
      </c>
      <c r="E283" s="306" t="s">
        <v>419</v>
      </c>
    </row>
    <row r="284" spans="1:5" x14ac:dyDescent="0.25">
      <c r="A284" s="647" t="s">
        <v>1339</v>
      </c>
      <c r="B284" s="647" t="s">
        <v>1265</v>
      </c>
      <c r="C284" s="6">
        <v>19202100431</v>
      </c>
      <c r="D284" s="6">
        <v>2.58</v>
      </c>
      <c r="E284" s="306" t="s">
        <v>419</v>
      </c>
    </row>
    <row r="285" spans="1:5" x14ac:dyDescent="0.25">
      <c r="A285" s="647" t="s">
        <v>1339</v>
      </c>
      <c r="B285" s="647" t="s">
        <v>1265</v>
      </c>
      <c r="C285" s="6">
        <v>19202100369</v>
      </c>
      <c r="D285" s="6">
        <v>2.52</v>
      </c>
      <c r="E285" s="306" t="s">
        <v>419</v>
      </c>
    </row>
    <row r="286" spans="1:5" x14ac:dyDescent="0.25">
      <c r="A286" s="647" t="s">
        <v>1339</v>
      </c>
      <c r="B286" s="647" t="s">
        <v>1265</v>
      </c>
      <c r="C286" s="6">
        <v>19202100406</v>
      </c>
      <c r="D286" s="6">
        <v>2.5</v>
      </c>
      <c r="E286" s="306" t="s">
        <v>419</v>
      </c>
    </row>
    <row r="287" spans="1:5" x14ac:dyDescent="0.25">
      <c r="A287" s="647" t="s">
        <v>1339</v>
      </c>
      <c r="B287" s="647" t="s">
        <v>1265</v>
      </c>
      <c r="C287" s="6">
        <v>19202100470</v>
      </c>
      <c r="D287" s="6">
        <v>2.46</v>
      </c>
      <c r="E287" s="306" t="s">
        <v>419</v>
      </c>
    </row>
    <row r="288" spans="1:5" x14ac:dyDescent="0.25">
      <c r="A288" s="647" t="s">
        <v>1339</v>
      </c>
      <c r="B288" s="647" t="s">
        <v>1265</v>
      </c>
      <c r="C288" s="6">
        <v>19202100441</v>
      </c>
      <c r="D288" s="6">
        <v>2.38</v>
      </c>
      <c r="E288" s="306" t="s">
        <v>419</v>
      </c>
    </row>
    <row r="289" spans="1:5" x14ac:dyDescent="0.25">
      <c r="A289" s="647" t="s">
        <v>1339</v>
      </c>
      <c r="B289" s="647" t="s">
        <v>1265</v>
      </c>
      <c r="C289" s="6">
        <v>19202100439</v>
      </c>
      <c r="D289" s="6">
        <v>2.35</v>
      </c>
      <c r="E289" s="306" t="s">
        <v>419</v>
      </c>
    </row>
    <row r="290" spans="1:5" x14ac:dyDescent="0.25">
      <c r="A290" s="647" t="s">
        <v>1339</v>
      </c>
      <c r="B290" s="647" t="s">
        <v>1265</v>
      </c>
      <c r="C290" s="6">
        <v>19202100404</v>
      </c>
      <c r="D290" s="6">
        <v>2.25</v>
      </c>
      <c r="E290" s="306" t="s">
        <v>419</v>
      </c>
    </row>
    <row r="291" spans="1:5" x14ac:dyDescent="0.25">
      <c r="A291" s="647" t="s">
        <v>1339</v>
      </c>
      <c r="B291" s="647" t="s">
        <v>1265</v>
      </c>
      <c r="C291" s="6">
        <v>19202100418</v>
      </c>
      <c r="D291" s="6">
        <v>2.2400000000000002</v>
      </c>
      <c r="E291" s="310" t="s">
        <v>420</v>
      </c>
    </row>
    <row r="292" spans="1:5" x14ac:dyDescent="0.25">
      <c r="A292" s="647" t="s">
        <v>1339</v>
      </c>
      <c r="B292" s="647" t="s">
        <v>1265</v>
      </c>
      <c r="C292" s="6">
        <v>19202100409</v>
      </c>
      <c r="D292" s="6">
        <v>2.23</v>
      </c>
      <c r="E292" s="310" t="s">
        <v>420</v>
      </c>
    </row>
    <row r="293" spans="1:5" x14ac:dyDescent="0.25">
      <c r="A293" s="647" t="s">
        <v>1339</v>
      </c>
      <c r="B293" s="647" t="s">
        <v>1265</v>
      </c>
      <c r="C293" s="6">
        <v>19202100360</v>
      </c>
      <c r="D293" s="6">
        <v>2.2000000000000002</v>
      </c>
      <c r="E293" s="310" t="s">
        <v>420</v>
      </c>
    </row>
    <row r="294" spans="1:5" x14ac:dyDescent="0.25">
      <c r="A294" s="647" t="s">
        <v>1339</v>
      </c>
      <c r="B294" s="647" t="s">
        <v>1265</v>
      </c>
      <c r="C294" s="6">
        <v>19202100444</v>
      </c>
      <c r="D294" s="6">
        <v>2.16</v>
      </c>
      <c r="E294" s="310" t="s">
        <v>420</v>
      </c>
    </row>
    <row r="295" spans="1:5" x14ac:dyDescent="0.25">
      <c r="A295" s="647" t="s">
        <v>1339</v>
      </c>
      <c r="B295" s="647" t="s">
        <v>1265</v>
      </c>
      <c r="C295" s="6">
        <v>19202100460</v>
      </c>
      <c r="D295" s="6">
        <v>2.14</v>
      </c>
      <c r="E295" s="310" t="s">
        <v>420</v>
      </c>
    </row>
    <row r="296" spans="1:5" x14ac:dyDescent="0.25">
      <c r="A296" s="647" t="s">
        <v>1339</v>
      </c>
      <c r="B296" s="647" t="s">
        <v>1265</v>
      </c>
      <c r="C296" s="6">
        <v>19202100420</v>
      </c>
      <c r="D296" s="6">
        <v>2.12</v>
      </c>
      <c r="E296" s="310" t="s">
        <v>420</v>
      </c>
    </row>
    <row r="297" spans="1:5" x14ac:dyDescent="0.25">
      <c r="A297" s="647" t="s">
        <v>1339</v>
      </c>
      <c r="B297" s="647" t="s">
        <v>1265</v>
      </c>
      <c r="C297" s="6">
        <v>19202100430</v>
      </c>
      <c r="D297" s="6">
        <v>2.1</v>
      </c>
      <c r="E297" s="310" t="s">
        <v>420</v>
      </c>
    </row>
    <row r="298" spans="1:5" x14ac:dyDescent="0.25">
      <c r="A298" s="647" t="s">
        <v>1339</v>
      </c>
      <c r="B298" s="647" t="s">
        <v>1265</v>
      </c>
      <c r="C298" s="6">
        <v>19202100438</v>
      </c>
      <c r="D298" s="6">
        <v>1.96</v>
      </c>
      <c r="E298" s="310" t="s">
        <v>420</v>
      </c>
    </row>
    <row r="299" spans="1:5" x14ac:dyDescent="0.25">
      <c r="A299" s="647" t="s">
        <v>1339</v>
      </c>
      <c r="B299" s="647" t="s">
        <v>1265</v>
      </c>
      <c r="C299" s="6">
        <v>19202100381</v>
      </c>
      <c r="D299" s="6">
        <v>1.94</v>
      </c>
      <c r="E299" s="310" t="s">
        <v>420</v>
      </c>
    </row>
    <row r="300" spans="1:5" x14ac:dyDescent="0.25">
      <c r="A300" s="647" t="s">
        <v>1339</v>
      </c>
      <c r="B300" s="647" t="s">
        <v>1265</v>
      </c>
      <c r="C300" s="6">
        <v>19202100453</v>
      </c>
      <c r="D300" s="6">
        <v>1.91</v>
      </c>
      <c r="E300" s="310" t="s">
        <v>420</v>
      </c>
    </row>
    <row r="301" spans="1:5" x14ac:dyDescent="0.25">
      <c r="A301" s="647" t="s">
        <v>1339</v>
      </c>
      <c r="B301" s="647" t="s">
        <v>1265</v>
      </c>
      <c r="C301" s="6">
        <v>19202100427</v>
      </c>
      <c r="D301" s="6">
        <v>1.83</v>
      </c>
      <c r="E301" s="310" t="s">
        <v>420</v>
      </c>
    </row>
    <row r="302" spans="1:5" x14ac:dyDescent="0.25">
      <c r="A302" s="647" t="s">
        <v>1339</v>
      </c>
      <c r="B302" s="647" t="s">
        <v>1265</v>
      </c>
      <c r="C302" s="6">
        <v>19202100461</v>
      </c>
      <c r="D302" s="6">
        <v>1.77</v>
      </c>
      <c r="E302" s="310" t="s">
        <v>420</v>
      </c>
    </row>
    <row r="303" spans="1:5" x14ac:dyDescent="0.25">
      <c r="A303" s="647" t="s">
        <v>1339</v>
      </c>
      <c r="B303" s="647" t="s">
        <v>1341</v>
      </c>
      <c r="C303" s="6">
        <v>19202100467</v>
      </c>
      <c r="D303" s="6">
        <v>2.85</v>
      </c>
      <c r="E303" s="306" t="s">
        <v>419</v>
      </c>
    </row>
    <row r="304" spans="1:5" x14ac:dyDescent="0.25">
      <c r="A304" s="647" t="s">
        <v>1339</v>
      </c>
      <c r="B304" s="647" t="s">
        <v>1341</v>
      </c>
      <c r="C304" s="6">
        <v>19202100456</v>
      </c>
      <c r="D304" s="6">
        <v>2.84</v>
      </c>
      <c r="E304" s="306" t="s">
        <v>419</v>
      </c>
    </row>
    <row r="305" spans="1:5" x14ac:dyDescent="0.25">
      <c r="A305" s="647" t="s">
        <v>1339</v>
      </c>
      <c r="B305" s="647" t="s">
        <v>1341</v>
      </c>
      <c r="C305" s="6">
        <v>19202100426</v>
      </c>
      <c r="D305" s="6">
        <v>2.78</v>
      </c>
      <c r="E305" s="306" t="s">
        <v>419</v>
      </c>
    </row>
    <row r="306" spans="1:5" x14ac:dyDescent="0.25">
      <c r="A306" s="647" t="s">
        <v>1339</v>
      </c>
      <c r="B306" s="647" t="s">
        <v>1341</v>
      </c>
      <c r="C306" s="6">
        <v>19202100390</v>
      </c>
      <c r="D306" s="6">
        <v>2.68</v>
      </c>
      <c r="E306" s="306" t="s">
        <v>419</v>
      </c>
    </row>
    <row r="307" spans="1:5" x14ac:dyDescent="0.25">
      <c r="A307" s="647" t="s">
        <v>1339</v>
      </c>
      <c r="B307" s="647" t="s">
        <v>1341</v>
      </c>
      <c r="C307" s="6">
        <v>19202100414</v>
      </c>
      <c r="D307" s="6">
        <v>2.5099999999999998</v>
      </c>
      <c r="E307" s="306" t="s">
        <v>419</v>
      </c>
    </row>
    <row r="308" spans="1:5" x14ac:dyDescent="0.25">
      <c r="A308" s="647" t="s">
        <v>1339</v>
      </c>
      <c r="B308" s="647" t="s">
        <v>1341</v>
      </c>
      <c r="C308" s="6">
        <v>19202100448</v>
      </c>
      <c r="D308" s="6">
        <v>2.46</v>
      </c>
      <c r="E308" s="306" t="s">
        <v>419</v>
      </c>
    </row>
    <row r="309" spans="1:5" x14ac:dyDescent="0.25">
      <c r="A309" s="647" t="s">
        <v>1339</v>
      </c>
      <c r="B309" s="647" t="s">
        <v>1341</v>
      </c>
      <c r="C309" s="6">
        <v>19202100440</v>
      </c>
      <c r="D309" s="6">
        <v>2.3199999999999998</v>
      </c>
      <c r="E309" s="306" t="s">
        <v>419</v>
      </c>
    </row>
    <row r="310" spans="1:5" x14ac:dyDescent="0.25">
      <c r="A310" s="647" t="s">
        <v>1339</v>
      </c>
      <c r="B310" s="647" t="s">
        <v>1341</v>
      </c>
      <c r="C310" s="6">
        <v>19202100422</v>
      </c>
      <c r="D310" s="6">
        <v>2.2200000000000002</v>
      </c>
      <c r="E310" s="306" t="s">
        <v>419</v>
      </c>
    </row>
    <row r="311" spans="1:5" x14ac:dyDescent="0.25">
      <c r="A311" s="647" t="s">
        <v>1339</v>
      </c>
      <c r="B311" s="647" t="s">
        <v>1341</v>
      </c>
      <c r="C311" s="6">
        <v>19202100443</v>
      </c>
      <c r="D311" s="6">
        <v>2.12</v>
      </c>
      <c r="E311" s="310" t="s">
        <v>420</v>
      </c>
    </row>
    <row r="312" spans="1:5" x14ac:dyDescent="0.25">
      <c r="A312" s="647" t="s">
        <v>1339</v>
      </c>
      <c r="B312" s="647" t="s">
        <v>1341</v>
      </c>
      <c r="C312" s="6">
        <v>19202100452</v>
      </c>
      <c r="D312" s="6">
        <v>2.12</v>
      </c>
      <c r="E312" s="310" t="s">
        <v>420</v>
      </c>
    </row>
    <row r="313" spans="1:5" x14ac:dyDescent="0.25">
      <c r="A313" s="647" t="s">
        <v>1339</v>
      </c>
      <c r="B313" s="647" t="s">
        <v>1341</v>
      </c>
      <c r="C313" s="6">
        <v>19202100428</v>
      </c>
      <c r="D313" s="6">
        <v>2.11</v>
      </c>
      <c r="E313" s="310" t="s">
        <v>420</v>
      </c>
    </row>
    <row r="314" spans="1:5" x14ac:dyDescent="0.25">
      <c r="A314" s="647" t="s">
        <v>1339</v>
      </c>
      <c r="B314" s="647" t="s">
        <v>1341</v>
      </c>
      <c r="C314" s="6">
        <v>19202100459</v>
      </c>
      <c r="D314" s="6">
        <v>2</v>
      </c>
      <c r="E314" s="310" t="s">
        <v>420</v>
      </c>
    </row>
    <row r="315" spans="1:5" x14ac:dyDescent="0.25">
      <c r="A315" s="647" t="s">
        <v>1339</v>
      </c>
      <c r="B315" s="647" t="s">
        <v>1341</v>
      </c>
      <c r="C315" s="6">
        <v>19202100449</v>
      </c>
      <c r="D315" s="6">
        <v>1.97</v>
      </c>
      <c r="E315" s="310" t="s">
        <v>420</v>
      </c>
    </row>
    <row r="316" spans="1:5" x14ac:dyDescent="0.25">
      <c r="A316" s="647" t="s">
        <v>1339</v>
      </c>
      <c r="B316" s="647" t="s">
        <v>1341</v>
      </c>
      <c r="C316" s="6">
        <v>19202100477</v>
      </c>
      <c r="D316" s="6">
        <v>1.88</v>
      </c>
      <c r="E316" s="310" t="s">
        <v>420</v>
      </c>
    </row>
    <row r="317" spans="1:5" x14ac:dyDescent="0.25">
      <c r="A317" s="647" t="s">
        <v>1339</v>
      </c>
      <c r="B317" s="647" t="s">
        <v>1341</v>
      </c>
      <c r="C317" s="6">
        <v>19202100425</v>
      </c>
      <c r="D317" s="6">
        <v>1.84</v>
      </c>
      <c r="E317" s="310" t="s">
        <v>420</v>
      </c>
    </row>
    <row r="318" spans="1:5" x14ac:dyDescent="0.25">
      <c r="A318" s="647" t="s">
        <v>1339</v>
      </c>
      <c r="B318" s="647" t="s">
        <v>1342</v>
      </c>
      <c r="C318" s="6">
        <v>19202100447</v>
      </c>
      <c r="D318" s="6">
        <v>2.9</v>
      </c>
      <c r="E318" s="306" t="s">
        <v>419</v>
      </c>
    </row>
    <row r="319" spans="1:5" x14ac:dyDescent="0.25">
      <c r="A319" s="647" t="s">
        <v>1339</v>
      </c>
      <c r="B319" s="647" t="s">
        <v>1342</v>
      </c>
      <c r="C319" s="6">
        <v>19202100356</v>
      </c>
      <c r="D319" s="6">
        <v>2.87</v>
      </c>
      <c r="E319" s="306" t="s">
        <v>419</v>
      </c>
    </row>
    <row r="320" spans="1:5" x14ac:dyDescent="0.25">
      <c r="A320" s="647" t="s">
        <v>1339</v>
      </c>
      <c r="B320" s="647" t="s">
        <v>1342</v>
      </c>
      <c r="C320" s="6">
        <v>19202100480</v>
      </c>
      <c r="D320" s="6">
        <v>2.85</v>
      </c>
      <c r="E320" s="306" t="s">
        <v>419</v>
      </c>
    </row>
    <row r="321" spans="1:5" x14ac:dyDescent="0.25">
      <c r="A321" s="647" t="s">
        <v>1339</v>
      </c>
      <c r="B321" s="647" t="s">
        <v>1342</v>
      </c>
      <c r="C321" s="6">
        <v>19202100455</v>
      </c>
      <c r="D321" s="6">
        <v>2.77</v>
      </c>
      <c r="E321" s="306" t="s">
        <v>419</v>
      </c>
    </row>
    <row r="322" spans="1:5" x14ac:dyDescent="0.25">
      <c r="A322" s="647" t="s">
        <v>1339</v>
      </c>
      <c r="B322" s="647" t="s">
        <v>1342</v>
      </c>
      <c r="C322" s="6">
        <v>19202100469</v>
      </c>
      <c r="D322" s="6">
        <v>2.77</v>
      </c>
      <c r="E322" s="306" t="s">
        <v>419</v>
      </c>
    </row>
    <row r="323" spans="1:5" x14ac:dyDescent="0.25">
      <c r="A323" s="647" t="s">
        <v>1339</v>
      </c>
      <c r="B323" s="647" t="s">
        <v>1342</v>
      </c>
      <c r="C323" s="6">
        <v>19202100394</v>
      </c>
      <c r="D323" s="6">
        <v>2.76</v>
      </c>
      <c r="E323" s="306" t="s">
        <v>419</v>
      </c>
    </row>
    <row r="324" spans="1:5" x14ac:dyDescent="0.25">
      <c r="A324" s="647" t="s">
        <v>1339</v>
      </c>
      <c r="B324" s="647" t="s">
        <v>1342</v>
      </c>
      <c r="C324" s="6">
        <v>19202100482</v>
      </c>
      <c r="D324" s="6">
        <v>2.7</v>
      </c>
      <c r="E324" s="306" t="s">
        <v>419</v>
      </c>
    </row>
    <row r="325" spans="1:5" x14ac:dyDescent="0.25">
      <c r="A325" s="647" t="s">
        <v>1339</v>
      </c>
      <c r="B325" s="647" t="s">
        <v>1342</v>
      </c>
      <c r="C325" s="6">
        <v>19202100475</v>
      </c>
      <c r="D325" s="6">
        <v>2.68</v>
      </c>
      <c r="E325" s="306" t="s">
        <v>419</v>
      </c>
    </row>
    <row r="326" spans="1:5" x14ac:dyDescent="0.25">
      <c r="A326" s="647" t="s">
        <v>1339</v>
      </c>
      <c r="B326" s="647" t="s">
        <v>1342</v>
      </c>
      <c r="C326" s="6">
        <v>19202100476</v>
      </c>
      <c r="D326" s="6">
        <v>2.64</v>
      </c>
      <c r="E326" s="310" t="s">
        <v>420</v>
      </c>
    </row>
    <row r="327" spans="1:5" x14ac:dyDescent="0.25">
      <c r="A327" s="647" t="s">
        <v>1339</v>
      </c>
      <c r="B327" s="647" t="s">
        <v>1342</v>
      </c>
      <c r="C327" s="6">
        <v>19202100412</v>
      </c>
      <c r="D327" s="6">
        <v>2.57</v>
      </c>
      <c r="E327" s="310" t="s">
        <v>420</v>
      </c>
    </row>
    <row r="328" spans="1:5" x14ac:dyDescent="0.25">
      <c r="A328" s="647" t="s">
        <v>1339</v>
      </c>
      <c r="B328" s="647" t="s">
        <v>1342</v>
      </c>
      <c r="C328" s="6">
        <v>19202100458</v>
      </c>
      <c r="D328" s="6">
        <v>2.56</v>
      </c>
      <c r="E328" s="310" t="s">
        <v>420</v>
      </c>
    </row>
    <row r="329" spans="1:5" x14ac:dyDescent="0.25">
      <c r="A329" s="647" t="s">
        <v>1339</v>
      </c>
      <c r="B329" s="647" t="s">
        <v>1342</v>
      </c>
      <c r="C329" s="6">
        <v>19202100473</v>
      </c>
      <c r="D329" s="6">
        <v>2.5299999999999998</v>
      </c>
      <c r="E329" s="310" t="s">
        <v>420</v>
      </c>
    </row>
    <row r="330" spans="1:5" x14ac:dyDescent="0.25">
      <c r="A330" s="647" t="s">
        <v>1339</v>
      </c>
      <c r="B330" s="647" t="s">
        <v>1342</v>
      </c>
      <c r="C330" s="6">
        <v>19202100457</v>
      </c>
      <c r="D330" s="6">
        <v>2.48</v>
      </c>
      <c r="E330" s="310" t="s">
        <v>420</v>
      </c>
    </row>
    <row r="331" spans="1:5" x14ac:dyDescent="0.25">
      <c r="A331" s="647" t="s">
        <v>1339</v>
      </c>
      <c r="B331" s="647" t="s">
        <v>1342</v>
      </c>
      <c r="C331" s="6">
        <v>19202100437</v>
      </c>
      <c r="D331" s="6">
        <v>2.4500000000000002</v>
      </c>
      <c r="E331" s="310" t="s">
        <v>420</v>
      </c>
    </row>
    <row r="332" spans="1:5" x14ac:dyDescent="0.25">
      <c r="A332" s="647" t="s">
        <v>1339</v>
      </c>
      <c r="B332" s="647" t="s">
        <v>1342</v>
      </c>
      <c r="C332" s="6">
        <v>19202100474</v>
      </c>
      <c r="D332" s="6">
        <v>2.42</v>
      </c>
      <c r="E332" s="310" t="s">
        <v>420</v>
      </c>
    </row>
    <row r="333" spans="1:5" x14ac:dyDescent="0.25">
      <c r="A333" s="647" t="s">
        <v>1339</v>
      </c>
      <c r="B333" s="647" t="s">
        <v>1342</v>
      </c>
      <c r="C333" s="6">
        <v>19202100454</v>
      </c>
      <c r="D333" s="6">
        <v>2.4</v>
      </c>
      <c r="E333" s="310" t="s">
        <v>420</v>
      </c>
    </row>
    <row r="334" spans="1:5" x14ac:dyDescent="0.25">
      <c r="A334" s="647" t="s">
        <v>1339</v>
      </c>
      <c r="B334" s="647" t="s">
        <v>1342</v>
      </c>
      <c r="C334" s="6">
        <v>19202100434</v>
      </c>
      <c r="D334" s="6">
        <v>2.37</v>
      </c>
      <c r="E334" s="310" t="s">
        <v>420</v>
      </c>
    </row>
    <row r="335" spans="1:5" x14ac:dyDescent="0.25">
      <c r="A335" s="647" t="s">
        <v>1339</v>
      </c>
      <c r="B335" s="647" t="s">
        <v>1342</v>
      </c>
      <c r="C335" s="6">
        <v>19202100478</v>
      </c>
      <c r="D335" s="6">
        <v>2.37</v>
      </c>
      <c r="E335" s="310" t="s">
        <v>420</v>
      </c>
    </row>
    <row r="336" spans="1:5" x14ac:dyDescent="0.25">
      <c r="A336" s="647" t="s">
        <v>1339</v>
      </c>
      <c r="B336" s="647" t="s">
        <v>1342</v>
      </c>
      <c r="C336" s="6">
        <v>19202100465</v>
      </c>
      <c r="D336" s="6">
        <v>2.29</v>
      </c>
      <c r="E336" s="310" t="s">
        <v>420</v>
      </c>
    </row>
    <row r="337" spans="1:5" x14ac:dyDescent="0.25">
      <c r="A337" s="647" t="s">
        <v>1339</v>
      </c>
      <c r="B337" s="647" t="s">
        <v>1342</v>
      </c>
      <c r="C337" s="6">
        <v>19202100466</v>
      </c>
      <c r="D337" s="6">
        <v>2.2799999999999998</v>
      </c>
      <c r="E337" s="310" t="s">
        <v>420</v>
      </c>
    </row>
    <row r="338" spans="1:5" x14ac:dyDescent="0.25">
      <c r="A338" s="647" t="s">
        <v>1339</v>
      </c>
      <c r="B338" s="647" t="s">
        <v>1342</v>
      </c>
      <c r="C338" s="6">
        <v>19202100435</v>
      </c>
      <c r="D338" s="6">
        <v>2.2599999999999998</v>
      </c>
      <c r="E338" s="310" t="s">
        <v>420</v>
      </c>
    </row>
    <row r="339" spans="1:5" x14ac:dyDescent="0.25">
      <c r="A339" s="647" t="s">
        <v>1339</v>
      </c>
      <c r="B339" s="647" t="s">
        <v>1342</v>
      </c>
      <c r="C339" s="6">
        <v>19202100481</v>
      </c>
      <c r="D339" s="6">
        <v>2.1800000000000002</v>
      </c>
      <c r="E339" s="310" t="s">
        <v>420</v>
      </c>
    </row>
    <row r="340" spans="1:5" x14ac:dyDescent="0.25">
      <c r="A340" s="647" t="s">
        <v>1339</v>
      </c>
      <c r="B340" s="647" t="s">
        <v>1342</v>
      </c>
      <c r="C340" s="6">
        <v>19202100468</v>
      </c>
      <c r="D340" s="6">
        <v>2.15</v>
      </c>
      <c r="E340" s="310" t="s">
        <v>420</v>
      </c>
    </row>
    <row r="341" spans="1:5" x14ac:dyDescent="0.25">
      <c r="A341" s="647" t="s">
        <v>1339</v>
      </c>
      <c r="B341" s="647" t="s">
        <v>1342</v>
      </c>
      <c r="C341" s="6">
        <v>19202100464</v>
      </c>
      <c r="D341" s="6">
        <v>2.14</v>
      </c>
      <c r="E341" s="310" t="s">
        <v>420</v>
      </c>
    </row>
    <row r="342" spans="1:5" x14ac:dyDescent="0.25">
      <c r="A342" s="647" t="s">
        <v>1339</v>
      </c>
      <c r="B342" s="647" t="s">
        <v>1342</v>
      </c>
      <c r="C342" s="6">
        <v>19202100485</v>
      </c>
      <c r="D342" s="6">
        <v>2.12</v>
      </c>
      <c r="E342" s="310" t="s">
        <v>420</v>
      </c>
    </row>
    <row r="343" spans="1:5" x14ac:dyDescent="0.25">
      <c r="A343" s="647" t="s">
        <v>1339</v>
      </c>
      <c r="B343" s="647" t="s">
        <v>1342</v>
      </c>
      <c r="C343" s="6">
        <v>19202100484</v>
      </c>
      <c r="D343" s="6">
        <v>2.0499999999999998</v>
      </c>
      <c r="E343" s="310" t="s">
        <v>420</v>
      </c>
    </row>
    <row r="344" spans="1:5" x14ac:dyDescent="0.25">
      <c r="A344" t="s">
        <v>1396</v>
      </c>
      <c r="B344" t="s">
        <v>1340</v>
      </c>
      <c r="C344" s="647">
        <v>19202101332</v>
      </c>
      <c r="D344" s="647">
        <v>2.97</v>
      </c>
      <c r="E344" s="306" t="s">
        <v>419</v>
      </c>
    </row>
    <row r="345" spans="1:5" x14ac:dyDescent="0.25">
      <c r="A345" s="647" t="s">
        <v>1396</v>
      </c>
      <c r="B345" s="647" t="s">
        <v>1340</v>
      </c>
      <c r="C345" s="647">
        <v>19202101322</v>
      </c>
      <c r="D345" s="647">
        <v>2.76</v>
      </c>
      <c r="E345" s="306" t="s">
        <v>419</v>
      </c>
    </row>
    <row r="346" spans="1:5" x14ac:dyDescent="0.25">
      <c r="A346" s="647" t="s">
        <v>1396</v>
      </c>
      <c r="B346" s="647" t="s">
        <v>1340</v>
      </c>
      <c r="C346" s="647">
        <v>19202101343</v>
      </c>
      <c r="D346" s="647">
        <v>2.5299999999999998</v>
      </c>
      <c r="E346" s="306" t="s">
        <v>419</v>
      </c>
    </row>
    <row r="347" spans="1:5" x14ac:dyDescent="0.25">
      <c r="A347" s="647" t="s">
        <v>1396</v>
      </c>
      <c r="B347" s="647" t="s">
        <v>1340</v>
      </c>
      <c r="C347" s="647">
        <v>19202101352</v>
      </c>
      <c r="D347" s="647">
        <v>2.3199999999999998</v>
      </c>
      <c r="E347" s="306" t="s">
        <v>419</v>
      </c>
    </row>
    <row r="348" spans="1:5" x14ac:dyDescent="0.25">
      <c r="A348" s="647" t="s">
        <v>1396</v>
      </c>
      <c r="B348" s="647" t="s">
        <v>1340</v>
      </c>
      <c r="C348" s="647">
        <v>19202101331</v>
      </c>
      <c r="D348" s="647">
        <v>2.31</v>
      </c>
      <c r="E348" s="306" t="s">
        <v>419</v>
      </c>
    </row>
    <row r="349" spans="1:5" x14ac:dyDescent="0.25">
      <c r="A349" s="647" t="s">
        <v>1396</v>
      </c>
      <c r="B349" s="647" t="s">
        <v>1340</v>
      </c>
      <c r="C349" s="647">
        <v>19202101345</v>
      </c>
      <c r="D349" s="647">
        <v>2.27</v>
      </c>
      <c r="E349" s="306" t="s">
        <v>419</v>
      </c>
    </row>
    <row r="350" spans="1:5" x14ac:dyDescent="0.25">
      <c r="A350" s="647" t="s">
        <v>1396</v>
      </c>
      <c r="B350" s="647" t="s">
        <v>1340</v>
      </c>
      <c r="C350" s="647">
        <v>19202101287</v>
      </c>
      <c r="D350" s="647">
        <v>2.2599999999999998</v>
      </c>
      <c r="E350" s="306" t="s">
        <v>419</v>
      </c>
    </row>
    <row r="351" spans="1:5" x14ac:dyDescent="0.25">
      <c r="A351" s="647" t="s">
        <v>1396</v>
      </c>
      <c r="B351" s="647" t="s">
        <v>1340</v>
      </c>
      <c r="C351" s="647">
        <v>19202101319</v>
      </c>
      <c r="D351" s="647">
        <v>2.17</v>
      </c>
      <c r="E351" s="306" t="s">
        <v>419</v>
      </c>
    </row>
    <row r="352" spans="1:5" x14ac:dyDescent="0.25">
      <c r="A352" s="647" t="s">
        <v>1396</v>
      </c>
      <c r="B352" s="647" t="s">
        <v>1340</v>
      </c>
      <c r="C352" s="647">
        <v>19202101346</v>
      </c>
      <c r="D352" s="647">
        <v>2.02</v>
      </c>
      <c r="E352" s="306" t="s">
        <v>419</v>
      </c>
    </row>
    <row r="353" spans="1:5" x14ac:dyDescent="0.25">
      <c r="A353" t="s">
        <v>1529</v>
      </c>
      <c r="B353" t="s">
        <v>1265</v>
      </c>
      <c r="C353" s="829">
        <v>19202200162</v>
      </c>
      <c r="D353" s="829">
        <v>2.88</v>
      </c>
      <c r="E353" s="306" t="s">
        <v>419</v>
      </c>
    </row>
    <row r="354" spans="1:5" x14ac:dyDescent="0.25">
      <c r="A354" s="829" t="s">
        <v>1530</v>
      </c>
      <c r="B354" s="829" t="s">
        <v>1265</v>
      </c>
      <c r="C354" s="829">
        <v>19202200196</v>
      </c>
      <c r="D354" s="829">
        <v>2.79</v>
      </c>
      <c r="E354" s="306" t="s">
        <v>419</v>
      </c>
    </row>
    <row r="355" spans="1:5" x14ac:dyDescent="0.25">
      <c r="A355" s="829" t="s">
        <v>1531</v>
      </c>
      <c r="B355" s="829" t="s">
        <v>1265</v>
      </c>
      <c r="C355" s="829">
        <v>19202200170</v>
      </c>
      <c r="D355" s="829">
        <v>2.78</v>
      </c>
      <c r="E355" s="306" t="s">
        <v>419</v>
      </c>
    </row>
    <row r="356" spans="1:5" x14ac:dyDescent="0.25">
      <c r="A356" s="829" t="s">
        <v>1532</v>
      </c>
      <c r="B356" s="829" t="s">
        <v>1265</v>
      </c>
      <c r="C356" s="829">
        <v>19202200185</v>
      </c>
      <c r="D356" s="829">
        <v>2.64</v>
      </c>
      <c r="E356" s="306" t="s">
        <v>419</v>
      </c>
    </row>
    <row r="357" spans="1:5" x14ac:dyDescent="0.25">
      <c r="A357" s="829" t="s">
        <v>1533</v>
      </c>
      <c r="B357" s="829" t="s">
        <v>1265</v>
      </c>
      <c r="C357" s="829">
        <v>19202200184</v>
      </c>
      <c r="D357" s="829">
        <v>2.63</v>
      </c>
      <c r="E357" s="306" t="s">
        <v>419</v>
      </c>
    </row>
    <row r="358" spans="1:5" x14ac:dyDescent="0.25">
      <c r="A358" s="829" t="s">
        <v>1534</v>
      </c>
      <c r="B358" s="829" t="s">
        <v>1265</v>
      </c>
      <c r="C358" s="829">
        <v>19202200206</v>
      </c>
      <c r="D358" s="829">
        <v>2.34</v>
      </c>
      <c r="E358" s="306" t="s">
        <v>419</v>
      </c>
    </row>
    <row r="359" spans="1:5" x14ac:dyDescent="0.25">
      <c r="A359" s="829" t="s">
        <v>1535</v>
      </c>
      <c r="B359" s="829" t="s">
        <v>1265</v>
      </c>
      <c r="C359" s="829">
        <v>19202200066</v>
      </c>
      <c r="D359" s="829">
        <v>2.2799999999999998</v>
      </c>
      <c r="E359" s="306" t="s">
        <v>419</v>
      </c>
    </row>
    <row r="360" spans="1:5" x14ac:dyDescent="0.25">
      <c r="A360" s="829" t="s">
        <v>1536</v>
      </c>
      <c r="B360" s="829" t="s">
        <v>1265</v>
      </c>
      <c r="C360" s="829">
        <v>19202200164</v>
      </c>
      <c r="D360" s="829">
        <v>2.2200000000000002</v>
      </c>
      <c r="E360" s="306" t="s">
        <v>419</v>
      </c>
    </row>
    <row r="361" spans="1:5" x14ac:dyDescent="0.25">
      <c r="A361" s="829" t="s">
        <v>1537</v>
      </c>
      <c r="B361" s="829" t="s">
        <v>1265</v>
      </c>
      <c r="C361" s="829">
        <v>19202200203</v>
      </c>
      <c r="D361" s="829">
        <v>2.2200000000000002</v>
      </c>
      <c r="E361" s="306" t="s">
        <v>419</v>
      </c>
    </row>
    <row r="362" spans="1:5" x14ac:dyDescent="0.25">
      <c r="A362" s="829" t="s">
        <v>1538</v>
      </c>
      <c r="B362" s="829" t="s">
        <v>1265</v>
      </c>
      <c r="C362" s="829">
        <v>19202200210</v>
      </c>
      <c r="D362" s="829">
        <v>2.19</v>
      </c>
      <c r="E362" s="306" t="s">
        <v>419</v>
      </c>
    </row>
    <row r="363" spans="1:5" x14ac:dyDescent="0.25">
      <c r="A363" s="829" t="s">
        <v>1539</v>
      </c>
      <c r="B363" s="829" t="s">
        <v>1265</v>
      </c>
      <c r="C363" s="829">
        <v>19202200201</v>
      </c>
      <c r="D363" s="829">
        <v>2.14</v>
      </c>
      <c r="E363" s="306" t="s">
        <v>419</v>
      </c>
    </row>
    <row r="364" spans="1:5" x14ac:dyDescent="0.25">
      <c r="A364" s="829" t="s">
        <v>1540</v>
      </c>
      <c r="B364" s="829" t="s">
        <v>1265</v>
      </c>
      <c r="C364" s="829">
        <v>19202200174</v>
      </c>
      <c r="D364" s="829">
        <v>2.13</v>
      </c>
      <c r="E364" s="306" t="s">
        <v>419</v>
      </c>
    </row>
    <row r="365" spans="1:5" x14ac:dyDescent="0.25">
      <c r="A365" s="829" t="s">
        <v>1541</v>
      </c>
      <c r="B365" s="829" t="s">
        <v>1265</v>
      </c>
      <c r="C365" s="829">
        <v>19202200207</v>
      </c>
      <c r="D365" s="829">
        <v>2.11</v>
      </c>
      <c r="E365" s="306" t="s">
        <v>419</v>
      </c>
    </row>
    <row r="366" spans="1:5" x14ac:dyDescent="0.25">
      <c r="A366" s="829" t="s">
        <v>1542</v>
      </c>
      <c r="B366" s="829" t="s">
        <v>1265</v>
      </c>
      <c r="C366" s="829">
        <v>19202200172</v>
      </c>
      <c r="D366" s="829">
        <v>2.06</v>
      </c>
      <c r="E366" s="306" t="s">
        <v>419</v>
      </c>
    </row>
    <row r="367" spans="1:5" x14ac:dyDescent="0.25">
      <c r="A367" s="829" t="s">
        <v>1543</v>
      </c>
      <c r="B367" s="829" t="s">
        <v>1265</v>
      </c>
      <c r="C367" s="829">
        <v>19202200166</v>
      </c>
      <c r="D367" s="829">
        <v>1.86</v>
      </c>
      <c r="E367" s="310" t="s">
        <v>420</v>
      </c>
    </row>
    <row r="368" spans="1:5" x14ac:dyDescent="0.25">
      <c r="A368" s="829" t="s">
        <v>1529</v>
      </c>
      <c r="B368" s="829" t="s">
        <v>1265</v>
      </c>
      <c r="C368" s="829">
        <v>19202200186</v>
      </c>
      <c r="D368" s="829">
        <v>1.57</v>
      </c>
      <c r="E368" s="310" t="s">
        <v>420</v>
      </c>
    </row>
    <row r="369" spans="1:5" x14ac:dyDescent="0.25">
      <c r="A369" s="829" t="s">
        <v>1529</v>
      </c>
      <c r="B369" t="s">
        <v>1341</v>
      </c>
      <c r="C369" s="829">
        <v>19202200169</v>
      </c>
      <c r="D369" s="829">
        <v>2.81</v>
      </c>
      <c r="E369" s="306" t="s">
        <v>419</v>
      </c>
    </row>
    <row r="370" spans="1:5" x14ac:dyDescent="0.25">
      <c r="A370" s="829" t="s">
        <v>1529</v>
      </c>
      <c r="B370" s="829" t="s">
        <v>1341</v>
      </c>
      <c r="C370" s="829">
        <v>19202200190</v>
      </c>
      <c r="D370" s="829">
        <v>2.74</v>
      </c>
      <c r="E370" s="306" t="s">
        <v>419</v>
      </c>
    </row>
    <row r="371" spans="1:5" x14ac:dyDescent="0.25">
      <c r="A371" s="829" t="s">
        <v>1529</v>
      </c>
      <c r="B371" s="829" t="s">
        <v>1341</v>
      </c>
      <c r="C371" s="829">
        <v>19202200181</v>
      </c>
      <c r="D371" s="829">
        <v>2.54</v>
      </c>
      <c r="E371" s="306" t="s">
        <v>419</v>
      </c>
    </row>
    <row r="372" spans="1:5" x14ac:dyDescent="0.25">
      <c r="A372" s="829" t="s">
        <v>1529</v>
      </c>
      <c r="B372" s="829" t="s">
        <v>1341</v>
      </c>
      <c r="C372" s="829">
        <v>19202200165</v>
      </c>
      <c r="D372" s="829">
        <v>2.39</v>
      </c>
      <c r="E372" s="306" t="s">
        <v>419</v>
      </c>
    </row>
    <row r="373" spans="1:5" x14ac:dyDescent="0.25">
      <c r="A373" s="829" t="s">
        <v>1529</v>
      </c>
      <c r="B373" s="829" t="s">
        <v>1341</v>
      </c>
      <c r="C373" s="829">
        <v>19202200211</v>
      </c>
      <c r="D373" s="829">
        <v>2.2999999999999998</v>
      </c>
      <c r="E373" s="306" t="s">
        <v>419</v>
      </c>
    </row>
    <row r="374" spans="1:5" x14ac:dyDescent="0.25">
      <c r="A374" s="829" t="s">
        <v>1529</v>
      </c>
      <c r="B374" s="829" t="s">
        <v>1341</v>
      </c>
      <c r="C374" s="829">
        <v>19202200199</v>
      </c>
      <c r="D374" s="829">
        <v>2.2599999999999998</v>
      </c>
      <c r="E374" s="306" t="s">
        <v>419</v>
      </c>
    </row>
    <row r="375" spans="1:5" x14ac:dyDescent="0.25">
      <c r="A375" s="829" t="s">
        <v>1529</v>
      </c>
      <c r="B375" s="829" t="s">
        <v>1341</v>
      </c>
      <c r="C375" s="829">
        <v>19202200193</v>
      </c>
      <c r="D375" s="829">
        <v>2.11</v>
      </c>
      <c r="E375" s="310" t="s">
        <v>420</v>
      </c>
    </row>
    <row r="376" spans="1:5" x14ac:dyDescent="0.25">
      <c r="A376" s="829" t="s">
        <v>1529</v>
      </c>
      <c r="B376" s="829" t="s">
        <v>1341</v>
      </c>
      <c r="C376" s="829">
        <v>19202200183</v>
      </c>
      <c r="D376" s="829">
        <v>2.04</v>
      </c>
      <c r="E376" s="310" t="s">
        <v>420</v>
      </c>
    </row>
    <row r="377" spans="1:5" x14ac:dyDescent="0.25">
      <c r="A377" s="829" t="s">
        <v>1529</v>
      </c>
      <c r="B377" s="829" t="s">
        <v>1341</v>
      </c>
      <c r="C377" s="829">
        <v>19202200173</v>
      </c>
      <c r="D377" s="829">
        <v>2.0299999999999998</v>
      </c>
      <c r="E377" s="310" t="s">
        <v>420</v>
      </c>
    </row>
    <row r="378" spans="1:5" x14ac:dyDescent="0.25">
      <c r="A378" s="829" t="s">
        <v>1529</v>
      </c>
      <c r="B378" s="829" t="s">
        <v>1341</v>
      </c>
      <c r="C378" s="829">
        <v>19202200176</v>
      </c>
      <c r="D378" s="829">
        <v>2.0099999999999998</v>
      </c>
      <c r="E378" s="310" t="s">
        <v>420</v>
      </c>
    </row>
    <row r="379" spans="1:5" x14ac:dyDescent="0.25">
      <c r="A379" s="829" t="s">
        <v>1529</v>
      </c>
      <c r="B379" s="829" t="s">
        <v>1341</v>
      </c>
      <c r="C379" s="829">
        <v>19202200192</v>
      </c>
      <c r="D379" s="829">
        <v>1.89</v>
      </c>
      <c r="E379" s="310" t="s">
        <v>420</v>
      </c>
    </row>
    <row r="380" spans="1:5" x14ac:dyDescent="0.25">
      <c r="A380" s="829" t="s">
        <v>1529</v>
      </c>
      <c r="B380" s="829" t="s">
        <v>1341</v>
      </c>
      <c r="C380" s="829">
        <v>19202200178</v>
      </c>
      <c r="D380" s="829">
        <v>1.8</v>
      </c>
      <c r="E380" s="310" t="s">
        <v>420</v>
      </c>
    </row>
    <row r="381" spans="1:5" x14ac:dyDescent="0.25">
      <c r="A381" s="829" t="s">
        <v>1529</v>
      </c>
      <c r="B381" s="829" t="s">
        <v>1341</v>
      </c>
      <c r="C381" s="829">
        <v>19202200144</v>
      </c>
      <c r="D381" s="829">
        <v>1.72</v>
      </c>
      <c r="E381" s="310" t="s">
        <v>420</v>
      </c>
    </row>
    <row r="382" spans="1:5" x14ac:dyDescent="0.25">
      <c r="A382" s="829" t="s">
        <v>1529</v>
      </c>
      <c r="B382" s="829" t="s">
        <v>1341</v>
      </c>
      <c r="C382" s="829">
        <v>19202200180</v>
      </c>
      <c r="D382" s="829">
        <v>1.59</v>
      </c>
      <c r="E382" s="310" t="s">
        <v>420</v>
      </c>
    </row>
    <row r="383" spans="1:5" x14ac:dyDescent="0.25">
      <c r="A383" s="829" t="s">
        <v>1529</v>
      </c>
      <c r="B383" s="829" t="s">
        <v>1341</v>
      </c>
      <c r="C383" s="829">
        <v>19202200195</v>
      </c>
      <c r="D383" s="829">
        <v>1.58</v>
      </c>
      <c r="E383" s="310" t="s">
        <v>420</v>
      </c>
    </row>
    <row r="384" spans="1:5" x14ac:dyDescent="0.25">
      <c r="A384" s="829" t="s">
        <v>1529</v>
      </c>
      <c r="B384" t="s">
        <v>1342</v>
      </c>
      <c r="C384" s="829">
        <v>19202200197</v>
      </c>
      <c r="D384" s="829">
        <v>2.63</v>
      </c>
      <c r="E384" s="306" t="s">
        <v>419</v>
      </c>
    </row>
    <row r="385" spans="1:5" x14ac:dyDescent="0.25">
      <c r="A385" s="829" t="s">
        <v>1529</v>
      </c>
      <c r="B385" s="829" t="s">
        <v>1342</v>
      </c>
      <c r="C385" s="829">
        <v>19202200175</v>
      </c>
      <c r="D385" s="829">
        <v>2.62</v>
      </c>
      <c r="E385" s="306" t="s">
        <v>419</v>
      </c>
    </row>
    <row r="386" spans="1:5" x14ac:dyDescent="0.25">
      <c r="A386" s="829" t="s">
        <v>1529</v>
      </c>
      <c r="B386" s="829" t="s">
        <v>1342</v>
      </c>
      <c r="C386" s="829">
        <v>19202200208</v>
      </c>
      <c r="D386" s="829">
        <v>2.62</v>
      </c>
      <c r="E386" s="306" t="s">
        <v>419</v>
      </c>
    </row>
    <row r="387" spans="1:5" x14ac:dyDescent="0.25">
      <c r="A387" s="829" t="s">
        <v>1529</v>
      </c>
      <c r="B387" s="829" t="s">
        <v>1342</v>
      </c>
      <c r="C387" s="829">
        <v>19202200191</v>
      </c>
      <c r="D387" s="829">
        <v>2.54</v>
      </c>
      <c r="E387" s="306" t="s">
        <v>419</v>
      </c>
    </row>
    <row r="388" spans="1:5" x14ac:dyDescent="0.25">
      <c r="A388" s="829" t="s">
        <v>1529</v>
      </c>
      <c r="B388" s="829" t="s">
        <v>1342</v>
      </c>
      <c r="C388" s="829">
        <v>19202200202</v>
      </c>
      <c r="D388" s="829">
        <v>2.4</v>
      </c>
      <c r="E388" s="306" t="s">
        <v>419</v>
      </c>
    </row>
    <row r="389" spans="1:5" x14ac:dyDescent="0.25">
      <c r="A389" s="829" t="s">
        <v>1529</v>
      </c>
      <c r="B389" s="829" t="s">
        <v>1342</v>
      </c>
      <c r="C389" s="829">
        <v>19202200103</v>
      </c>
      <c r="D389" s="829">
        <v>2.37</v>
      </c>
      <c r="E389" s="306" t="s">
        <v>419</v>
      </c>
    </row>
    <row r="390" spans="1:5" x14ac:dyDescent="0.25">
      <c r="A390" s="829" t="s">
        <v>1529</v>
      </c>
      <c r="B390" s="829" t="s">
        <v>1342</v>
      </c>
      <c r="C390" s="829">
        <v>19202200167</v>
      </c>
      <c r="D390" s="829">
        <v>2.3199999999999998</v>
      </c>
      <c r="E390" s="306" t="s">
        <v>419</v>
      </c>
    </row>
    <row r="391" spans="1:5" x14ac:dyDescent="0.25">
      <c r="A391" s="829" t="s">
        <v>1529</v>
      </c>
      <c r="B391" s="829" t="s">
        <v>1342</v>
      </c>
      <c r="C391" s="829">
        <v>19202200204</v>
      </c>
      <c r="D391" s="829">
        <v>2.2400000000000002</v>
      </c>
      <c r="E391" s="306" t="s">
        <v>419</v>
      </c>
    </row>
    <row r="392" spans="1:5" x14ac:dyDescent="0.25">
      <c r="A392" s="829" t="s">
        <v>1529</v>
      </c>
      <c r="B392" s="829" t="s">
        <v>1342</v>
      </c>
      <c r="C392" s="829">
        <v>19202200188</v>
      </c>
      <c r="D392" s="829">
        <v>2.17</v>
      </c>
      <c r="E392" s="310" t="s">
        <v>420</v>
      </c>
    </row>
    <row r="393" spans="1:5" x14ac:dyDescent="0.25">
      <c r="A393" s="829" t="s">
        <v>1529</v>
      </c>
      <c r="B393" s="829" t="s">
        <v>1342</v>
      </c>
      <c r="C393" s="829">
        <v>19202200198</v>
      </c>
      <c r="D393" s="829">
        <v>2.0699999999999998</v>
      </c>
      <c r="E393" s="310" t="s">
        <v>420</v>
      </c>
    </row>
    <row r="394" spans="1:5" x14ac:dyDescent="0.25">
      <c r="A394" s="829" t="s">
        <v>1529</v>
      </c>
      <c r="B394" s="829" t="s">
        <v>1342</v>
      </c>
      <c r="C394" s="829">
        <v>19202200136</v>
      </c>
      <c r="D394" s="829">
        <v>2.0099999999999998</v>
      </c>
      <c r="E394" s="310" t="s">
        <v>420</v>
      </c>
    </row>
    <row r="395" spans="1:5" x14ac:dyDescent="0.25">
      <c r="A395" s="829" t="s">
        <v>1529</v>
      </c>
      <c r="B395" s="829" t="s">
        <v>1342</v>
      </c>
      <c r="C395" s="829">
        <v>19202200177</v>
      </c>
      <c r="D395" s="829">
        <v>2</v>
      </c>
      <c r="E395" s="310" t="s">
        <v>420</v>
      </c>
    </row>
    <row r="396" spans="1:5" x14ac:dyDescent="0.25">
      <c r="A396" s="829" t="s">
        <v>1529</v>
      </c>
      <c r="B396" s="829" t="s">
        <v>1342</v>
      </c>
      <c r="C396" s="829">
        <v>19202200209</v>
      </c>
      <c r="D396" s="829">
        <v>1.79</v>
      </c>
      <c r="E396" s="310" t="s">
        <v>420</v>
      </c>
    </row>
    <row r="397" spans="1:5" x14ac:dyDescent="0.25">
      <c r="A397" s="829" t="s">
        <v>1529</v>
      </c>
      <c r="B397" s="829" t="s">
        <v>1342</v>
      </c>
      <c r="C397" s="829">
        <v>19202200187</v>
      </c>
      <c r="D397" s="829">
        <v>1.5</v>
      </c>
      <c r="E397" s="310" t="s">
        <v>420</v>
      </c>
    </row>
    <row r="398" spans="1:5" x14ac:dyDescent="0.25">
      <c r="A398" s="829" t="s">
        <v>1529</v>
      </c>
      <c r="B398" s="829" t="s">
        <v>1342</v>
      </c>
      <c r="C398" s="829">
        <v>19202200179</v>
      </c>
      <c r="D398" s="829">
        <v>1.3</v>
      </c>
      <c r="E398" s="310" t="s">
        <v>420</v>
      </c>
    </row>
  </sheetData>
  <sortState ref="A3:E25">
    <sortCondition descending="1" ref="D3:D25"/>
  </sortState>
  <mergeCells count="1">
    <mergeCell ref="A1:E1"/>
  </mergeCells>
  <pageMargins left="0.7" right="0.7" top="0.75" bottom="0.75" header="0.3" footer="0.3"/>
  <pageSetup paperSize="9" orientation="portrait" r:id="rId1"/>
  <ignoredErrors>
    <ignoredError sqref="C17:C26 C15:C16 C3:C1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9"/>
  <sheetViews>
    <sheetView zoomScaleNormal="100" workbookViewId="0">
      <pane ySplit="2" topLeftCell="A357" activePane="bottomLeft" state="frozen"/>
      <selection pane="bottomLeft" activeCell="Q374" sqref="Q374"/>
    </sheetView>
  </sheetViews>
  <sheetFormatPr defaultRowHeight="15" x14ac:dyDescent="0.25"/>
  <cols>
    <col min="1" max="1" width="24" customWidth="1"/>
    <col min="2" max="2" width="36.42578125" bestFit="1" customWidth="1"/>
    <col min="3" max="3" width="19.85546875" customWidth="1"/>
    <col min="4" max="4" width="13.140625" bestFit="1" customWidth="1"/>
    <col min="5" max="5" width="18.140625" customWidth="1"/>
  </cols>
  <sheetData>
    <row r="1" spans="1:5" ht="15.75" x14ac:dyDescent="0.25">
      <c r="A1" s="847" t="s">
        <v>24</v>
      </c>
      <c r="B1" s="848"/>
      <c r="C1" s="848"/>
      <c r="D1" s="848"/>
      <c r="E1" s="849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428</v>
      </c>
      <c r="B3" s="363" t="s">
        <v>429</v>
      </c>
      <c r="C3" s="49" t="str">
        <f>"619216650767"</f>
        <v>619216650767</v>
      </c>
      <c r="D3" s="38">
        <v>2.2400000000000002</v>
      </c>
      <c r="E3" s="39" t="s">
        <v>419</v>
      </c>
    </row>
    <row r="4" spans="1:5" x14ac:dyDescent="0.25">
      <c r="A4" s="60" t="s">
        <v>428</v>
      </c>
      <c r="B4" s="343" t="s">
        <v>429</v>
      </c>
      <c r="C4" s="2" t="str">
        <f>"619216650765"</f>
        <v>619216650765</v>
      </c>
      <c r="D4" s="9">
        <v>2.14</v>
      </c>
      <c r="E4" s="41" t="s">
        <v>419</v>
      </c>
    </row>
    <row r="5" spans="1:5" x14ac:dyDescent="0.25">
      <c r="A5" s="60" t="s">
        <v>428</v>
      </c>
      <c r="B5" s="343" t="s">
        <v>429</v>
      </c>
      <c r="C5" s="2" t="str">
        <f>"619216650766"</f>
        <v>619216650766</v>
      </c>
      <c r="D5" s="9">
        <v>2.06</v>
      </c>
      <c r="E5" s="41" t="s">
        <v>419</v>
      </c>
    </row>
    <row r="6" spans="1:5" x14ac:dyDescent="0.25">
      <c r="A6" s="60" t="s">
        <v>428</v>
      </c>
      <c r="B6" s="343" t="s">
        <v>429</v>
      </c>
      <c r="C6" s="2" t="str">
        <f>"619216650768"</f>
        <v>619216650768</v>
      </c>
      <c r="D6" s="9">
        <v>2.04</v>
      </c>
      <c r="E6" s="41" t="s">
        <v>419</v>
      </c>
    </row>
    <row r="7" spans="1:5" x14ac:dyDescent="0.25">
      <c r="A7" s="60" t="s">
        <v>428</v>
      </c>
      <c r="B7" s="343" t="s">
        <v>429</v>
      </c>
      <c r="C7" s="2" t="str">
        <f>"619216860769"</f>
        <v>619216860769</v>
      </c>
      <c r="D7" s="9">
        <v>2.02</v>
      </c>
      <c r="E7" s="41" t="s">
        <v>419</v>
      </c>
    </row>
    <row r="8" spans="1:5" x14ac:dyDescent="0.25">
      <c r="A8" s="60" t="s">
        <v>428</v>
      </c>
      <c r="B8" s="343" t="s">
        <v>429</v>
      </c>
      <c r="C8" s="2" t="str">
        <f>"619216860770"</f>
        <v>619216860770</v>
      </c>
      <c r="D8" s="9">
        <v>2</v>
      </c>
      <c r="E8" s="41" t="s">
        <v>419</v>
      </c>
    </row>
    <row r="9" spans="1:5" x14ac:dyDescent="0.25">
      <c r="A9" s="60" t="s">
        <v>428</v>
      </c>
      <c r="B9" s="343" t="s">
        <v>429</v>
      </c>
      <c r="C9" s="2" t="str">
        <f>"619216650771"</f>
        <v>619216650771</v>
      </c>
      <c r="D9" s="9">
        <v>1.98</v>
      </c>
      <c r="E9" s="41" t="s">
        <v>419</v>
      </c>
    </row>
    <row r="10" spans="1:5" x14ac:dyDescent="0.25">
      <c r="A10" s="60" t="s">
        <v>428</v>
      </c>
      <c r="B10" s="343" t="s">
        <v>429</v>
      </c>
      <c r="C10" s="2" t="str">
        <f>"619216860772"</f>
        <v>619216860772</v>
      </c>
      <c r="D10" s="9">
        <v>1.98</v>
      </c>
      <c r="E10" s="41" t="s">
        <v>419</v>
      </c>
    </row>
    <row r="11" spans="1:5" x14ac:dyDescent="0.25">
      <c r="A11" s="60" t="s">
        <v>428</v>
      </c>
      <c r="B11" s="343" t="s">
        <v>429</v>
      </c>
      <c r="C11" s="2" t="str">
        <f>"619216650773"</f>
        <v>619216650773</v>
      </c>
      <c r="D11" s="9">
        <v>1.96</v>
      </c>
      <c r="E11" s="41" t="s">
        <v>419</v>
      </c>
    </row>
    <row r="12" spans="1:5" x14ac:dyDescent="0.25">
      <c r="A12" s="60" t="s">
        <v>428</v>
      </c>
      <c r="B12" s="343" t="s">
        <v>429</v>
      </c>
      <c r="C12" s="2" t="str">
        <f>"619216650774"</f>
        <v>619216650774</v>
      </c>
      <c r="D12" s="9">
        <v>1.86</v>
      </c>
      <c r="E12" s="41" t="s">
        <v>419</v>
      </c>
    </row>
    <row r="13" spans="1:5" x14ac:dyDescent="0.25">
      <c r="A13" s="60" t="s">
        <v>428</v>
      </c>
      <c r="B13" s="343" t="s">
        <v>429</v>
      </c>
      <c r="C13" s="2" t="str">
        <f>"619216860775"</f>
        <v>619216860775</v>
      </c>
      <c r="D13" s="9">
        <v>1.78</v>
      </c>
      <c r="E13" s="66" t="s">
        <v>420</v>
      </c>
    </row>
    <row r="14" spans="1:5" x14ac:dyDescent="0.25">
      <c r="A14" s="60" t="s">
        <v>428</v>
      </c>
      <c r="B14" s="343" t="s">
        <v>429</v>
      </c>
      <c r="C14" s="2" t="str">
        <f>"619216650788"</f>
        <v>619216650788</v>
      </c>
      <c r="D14" s="9">
        <v>1.76</v>
      </c>
      <c r="E14" s="66" t="s">
        <v>420</v>
      </c>
    </row>
    <row r="15" spans="1:5" x14ac:dyDescent="0.25">
      <c r="A15" s="60" t="s">
        <v>428</v>
      </c>
      <c r="B15" s="343" t="s">
        <v>429</v>
      </c>
      <c r="C15" s="2" t="str">
        <f>"619216860789"</f>
        <v>619216860789</v>
      </c>
      <c r="D15" s="9">
        <v>1.7</v>
      </c>
      <c r="E15" s="66" t="s">
        <v>420</v>
      </c>
    </row>
    <row r="16" spans="1:5" x14ac:dyDescent="0.25">
      <c r="A16" s="60" t="s">
        <v>428</v>
      </c>
      <c r="B16" s="343" t="s">
        <v>429</v>
      </c>
      <c r="C16" s="2" t="str">
        <f>"619216650790"</f>
        <v>619216650790</v>
      </c>
      <c r="D16" s="9">
        <v>1.6</v>
      </c>
      <c r="E16" s="66" t="s">
        <v>420</v>
      </c>
    </row>
    <row r="17" spans="1:5" x14ac:dyDescent="0.25">
      <c r="A17" s="60" t="s">
        <v>428</v>
      </c>
      <c r="B17" s="343" t="s">
        <v>429</v>
      </c>
      <c r="C17" s="2" t="str">
        <f>"619216860791"</f>
        <v>619216860791</v>
      </c>
      <c r="D17" s="9">
        <v>1.56</v>
      </c>
      <c r="E17" s="66" t="s">
        <v>420</v>
      </c>
    </row>
    <row r="18" spans="1:5" x14ac:dyDescent="0.25">
      <c r="A18" s="60" t="s">
        <v>428</v>
      </c>
      <c r="B18" s="343" t="s">
        <v>429</v>
      </c>
      <c r="C18" s="2" t="str">
        <f>"619216860792"</f>
        <v>619216860792</v>
      </c>
      <c r="D18" s="9">
        <v>1.48</v>
      </c>
      <c r="E18" s="66" t="s">
        <v>420</v>
      </c>
    </row>
    <row r="19" spans="1:5" x14ac:dyDescent="0.25">
      <c r="A19" s="60" t="s">
        <v>428</v>
      </c>
      <c r="B19" s="343" t="s">
        <v>429</v>
      </c>
      <c r="C19" s="2" t="str">
        <f>"619216650793"</f>
        <v>619216650793</v>
      </c>
      <c r="D19" s="9">
        <v>1.4</v>
      </c>
      <c r="E19" s="66" t="s">
        <v>420</v>
      </c>
    </row>
    <row r="20" spans="1:5" ht="15.75" thickBot="1" x14ac:dyDescent="0.3">
      <c r="A20" s="61" t="s">
        <v>428</v>
      </c>
      <c r="B20" s="351" t="s">
        <v>429</v>
      </c>
      <c r="C20" s="51" t="str">
        <f>"619216860794"</f>
        <v>619216860794</v>
      </c>
      <c r="D20" s="45">
        <v>0.92</v>
      </c>
      <c r="E20" s="46" t="s">
        <v>420</v>
      </c>
    </row>
    <row r="21" spans="1:5" x14ac:dyDescent="0.25">
      <c r="A21" s="58" t="s">
        <v>428</v>
      </c>
      <c r="B21" s="37" t="s">
        <v>430</v>
      </c>
      <c r="C21" s="49" t="str">
        <f>"619216650754"</f>
        <v>619216650754</v>
      </c>
      <c r="D21" s="38">
        <v>2.74</v>
      </c>
      <c r="E21" s="39" t="s">
        <v>419</v>
      </c>
    </row>
    <row r="22" spans="1:5" x14ac:dyDescent="0.25">
      <c r="A22" s="60" t="s">
        <v>428</v>
      </c>
      <c r="B22" s="14" t="s">
        <v>430</v>
      </c>
      <c r="C22" s="2" t="str">
        <f>"619216650756"</f>
        <v>619216650756</v>
      </c>
      <c r="D22" s="9">
        <v>2.64</v>
      </c>
      <c r="E22" s="41" t="s">
        <v>419</v>
      </c>
    </row>
    <row r="23" spans="1:5" x14ac:dyDescent="0.25">
      <c r="A23" s="60" t="s">
        <v>428</v>
      </c>
      <c r="B23" s="14" t="s">
        <v>430</v>
      </c>
      <c r="C23" s="2" t="str">
        <f>"619216650757"</f>
        <v>619216650757</v>
      </c>
      <c r="D23" s="9">
        <v>2.58</v>
      </c>
      <c r="E23" s="41" t="s">
        <v>419</v>
      </c>
    </row>
    <row r="24" spans="1:5" x14ac:dyDescent="0.25">
      <c r="A24" s="60" t="s">
        <v>428</v>
      </c>
      <c r="B24" s="14" t="s">
        <v>430</v>
      </c>
      <c r="C24" s="2" t="str">
        <f>"619216650758"</f>
        <v>619216650758</v>
      </c>
      <c r="D24" s="9">
        <v>2.58</v>
      </c>
      <c r="E24" s="41" t="s">
        <v>419</v>
      </c>
    </row>
    <row r="25" spans="1:5" x14ac:dyDescent="0.25">
      <c r="A25" s="60" t="s">
        <v>428</v>
      </c>
      <c r="B25" s="14" t="s">
        <v>430</v>
      </c>
      <c r="C25" s="2" t="str">
        <f>"619216860759"</f>
        <v>619216860759</v>
      </c>
      <c r="D25" s="9">
        <v>2.56</v>
      </c>
      <c r="E25" s="41" t="s">
        <v>419</v>
      </c>
    </row>
    <row r="26" spans="1:5" x14ac:dyDescent="0.25">
      <c r="A26" s="60" t="s">
        <v>428</v>
      </c>
      <c r="B26" s="14" t="s">
        <v>430</v>
      </c>
      <c r="C26" s="2" t="str">
        <f>"619216650760"</f>
        <v>619216650760</v>
      </c>
      <c r="D26" s="9">
        <v>2.4</v>
      </c>
      <c r="E26" s="41" t="s">
        <v>419</v>
      </c>
    </row>
    <row r="27" spans="1:5" x14ac:dyDescent="0.25">
      <c r="A27" s="60" t="s">
        <v>428</v>
      </c>
      <c r="B27" s="14" t="s">
        <v>430</v>
      </c>
      <c r="C27" s="2" t="str">
        <f>"619216650761"</f>
        <v>619216650761</v>
      </c>
      <c r="D27" s="9">
        <v>2.4</v>
      </c>
      <c r="E27" s="41" t="s">
        <v>419</v>
      </c>
    </row>
    <row r="28" spans="1:5" x14ac:dyDescent="0.25">
      <c r="A28" s="60" t="s">
        <v>428</v>
      </c>
      <c r="B28" s="14" t="s">
        <v>430</v>
      </c>
      <c r="C28" s="2" t="str">
        <f>"619216650762"</f>
        <v>619216650762</v>
      </c>
      <c r="D28" s="9">
        <v>2.12</v>
      </c>
      <c r="E28" s="41" t="s">
        <v>419</v>
      </c>
    </row>
    <row r="29" spans="1:5" x14ac:dyDescent="0.25">
      <c r="A29" s="60" t="s">
        <v>428</v>
      </c>
      <c r="B29" s="14" t="s">
        <v>430</v>
      </c>
      <c r="C29" s="2" t="str">
        <f>"619216650776"</f>
        <v>619216650776</v>
      </c>
      <c r="D29" s="9">
        <v>2.14</v>
      </c>
      <c r="E29" s="66" t="s">
        <v>420</v>
      </c>
    </row>
    <row r="30" spans="1:5" x14ac:dyDescent="0.25">
      <c r="A30" s="60" t="s">
        <v>428</v>
      </c>
      <c r="B30" s="14" t="s">
        <v>430</v>
      </c>
      <c r="C30" s="2" t="str">
        <f>"619216860778"</f>
        <v>619216860778</v>
      </c>
      <c r="D30" s="9">
        <v>2.06</v>
      </c>
      <c r="E30" s="66" t="s">
        <v>420</v>
      </c>
    </row>
    <row r="31" spans="1:5" x14ac:dyDescent="0.25">
      <c r="A31" s="60" t="s">
        <v>428</v>
      </c>
      <c r="B31" s="14" t="s">
        <v>430</v>
      </c>
      <c r="C31" s="2" t="str">
        <f>"619216650755"</f>
        <v>619216650755</v>
      </c>
      <c r="D31" s="9">
        <v>1.96</v>
      </c>
      <c r="E31" s="66" t="s">
        <v>420</v>
      </c>
    </row>
    <row r="32" spans="1:5" x14ac:dyDescent="0.25">
      <c r="A32" s="60" t="s">
        <v>428</v>
      </c>
      <c r="B32" s="14" t="s">
        <v>430</v>
      </c>
      <c r="C32" s="2" t="str">
        <f>"619216650771"</f>
        <v>619216650771</v>
      </c>
      <c r="D32" s="15">
        <v>1.96</v>
      </c>
      <c r="E32" s="66" t="s">
        <v>420</v>
      </c>
    </row>
    <row r="33" spans="1:5" x14ac:dyDescent="0.25">
      <c r="A33" s="60" t="s">
        <v>428</v>
      </c>
      <c r="B33" s="14" t="s">
        <v>430</v>
      </c>
      <c r="C33" s="2" t="str">
        <f>"619216650779"</f>
        <v>619216650779</v>
      </c>
      <c r="D33" s="15">
        <v>1.94</v>
      </c>
      <c r="E33" s="66" t="s">
        <v>420</v>
      </c>
    </row>
    <row r="34" spans="1:5" x14ac:dyDescent="0.25">
      <c r="A34" s="60" t="s">
        <v>428</v>
      </c>
      <c r="B34" s="14" t="s">
        <v>430</v>
      </c>
      <c r="C34" s="2" t="str">
        <f>"619216650780"</f>
        <v>619216650780</v>
      </c>
      <c r="D34" s="15">
        <v>1.92</v>
      </c>
      <c r="E34" s="66" t="s">
        <v>420</v>
      </c>
    </row>
    <row r="35" spans="1:5" x14ac:dyDescent="0.25">
      <c r="A35" s="60" t="s">
        <v>428</v>
      </c>
      <c r="B35" s="14" t="s">
        <v>430</v>
      </c>
      <c r="C35" s="2" t="str">
        <f>"619216860781"</f>
        <v>619216860781</v>
      </c>
      <c r="D35" s="15">
        <v>1.86</v>
      </c>
      <c r="E35" s="66" t="s">
        <v>420</v>
      </c>
    </row>
    <row r="36" spans="1:5" x14ac:dyDescent="0.25">
      <c r="A36" s="60" t="s">
        <v>428</v>
      </c>
      <c r="B36" s="14" t="s">
        <v>430</v>
      </c>
      <c r="C36" s="2" t="str">
        <f>"619216650782"</f>
        <v>619216650782</v>
      </c>
      <c r="D36" s="15">
        <v>1.78</v>
      </c>
      <c r="E36" s="66" t="s">
        <v>420</v>
      </c>
    </row>
    <row r="37" spans="1:5" x14ac:dyDescent="0.25">
      <c r="A37" s="60" t="s">
        <v>428</v>
      </c>
      <c r="B37" s="14" t="s">
        <v>430</v>
      </c>
      <c r="C37" s="2" t="str">
        <f>"619216650783"</f>
        <v>619216650783</v>
      </c>
      <c r="D37" s="15">
        <v>1.76</v>
      </c>
      <c r="E37" s="66" t="s">
        <v>420</v>
      </c>
    </row>
    <row r="38" spans="1:5" x14ac:dyDescent="0.25">
      <c r="A38" s="60" t="s">
        <v>428</v>
      </c>
      <c r="B38" s="14" t="s">
        <v>430</v>
      </c>
      <c r="C38" s="2" t="str">
        <f>"619216370784"</f>
        <v>619216370784</v>
      </c>
      <c r="D38" s="15">
        <v>1.7</v>
      </c>
      <c r="E38" s="66" t="s">
        <v>420</v>
      </c>
    </row>
    <row r="39" spans="1:5" x14ac:dyDescent="0.25">
      <c r="A39" s="60" t="s">
        <v>428</v>
      </c>
      <c r="B39" s="14" t="s">
        <v>430</v>
      </c>
      <c r="C39" s="2" t="str">
        <f>"619216650785"</f>
        <v>619216650785</v>
      </c>
      <c r="D39" s="15">
        <v>1.54</v>
      </c>
      <c r="E39" s="66" t="s">
        <v>420</v>
      </c>
    </row>
    <row r="40" spans="1:5" x14ac:dyDescent="0.25">
      <c r="A40" s="60" t="s">
        <v>428</v>
      </c>
      <c r="B40" s="14" t="s">
        <v>430</v>
      </c>
      <c r="C40" s="2" t="str">
        <f>"619216860786"</f>
        <v>619216860786</v>
      </c>
      <c r="D40" s="15">
        <v>1.38</v>
      </c>
      <c r="E40" s="66" t="s">
        <v>420</v>
      </c>
    </row>
    <row r="41" spans="1:5" ht="15.75" thickBot="1" x14ac:dyDescent="0.3">
      <c r="A41" s="61" t="s">
        <v>428</v>
      </c>
      <c r="B41" s="357" t="s">
        <v>430</v>
      </c>
      <c r="C41" s="51" t="str">
        <f>"619216860787"</f>
        <v>619216860787</v>
      </c>
      <c r="D41" s="97">
        <v>1.22</v>
      </c>
      <c r="E41" s="46" t="s">
        <v>420</v>
      </c>
    </row>
    <row r="42" spans="1:5" x14ac:dyDescent="0.25">
      <c r="A42" s="58" t="s">
        <v>428</v>
      </c>
      <c r="B42" s="37" t="s">
        <v>431</v>
      </c>
      <c r="C42" s="49" t="str">
        <f>"619216650763"</f>
        <v>619216650763</v>
      </c>
      <c r="D42" s="38">
        <v>2.52</v>
      </c>
      <c r="E42" s="39" t="s">
        <v>419</v>
      </c>
    </row>
    <row r="43" spans="1:5" ht="15.75" thickBot="1" x14ac:dyDescent="0.3">
      <c r="A43" s="61" t="s">
        <v>428</v>
      </c>
      <c r="B43" s="357" t="s">
        <v>431</v>
      </c>
      <c r="C43" s="51" t="str">
        <f>"619216860764"</f>
        <v>619216860764</v>
      </c>
      <c r="D43" s="45">
        <v>2.3885999999999998</v>
      </c>
      <c r="E43" s="87" t="s">
        <v>419</v>
      </c>
    </row>
    <row r="44" spans="1:5" x14ac:dyDescent="0.25">
      <c r="A44" s="344" t="s">
        <v>664</v>
      </c>
      <c r="B44" s="345" t="s">
        <v>429</v>
      </c>
      <c r="C44" s="346" t="str">
        <f>"619217651721"</f>
        <v>619217651721</v>
      </c>
      <c r="D44" s="347">
        <v>2.5</v>
      </c>
      <c r="E44" s="39" t="s">
        <v>419</v>
      </c>
    </row>
    <row r="45" spans="1:5" x14ac:dyDescent="0.25">
      <c r="A45" s="348" t="s">
        <v>664</v>
      </c>
      <c r="B45" s="341" t="s">
        <v>429</v>
      </c>
      <c r="C45" s="342" t="str">
        <f>"619217651720"</f>
        <v>619217651720</v>
      </c>
      <c r="D45" s="340">
        <v>2.4830000000000001</v>
      </c>
      <c r="E45" s="41" t="s">
        <v>419</v>
      </c>
    </row>
    <row r="46" spans="1:5" x14ac:dyDescent="0.25">
      <c r="A46" s="348" t="s">
        <v>664</v>
      </c>
      <c r="B46" s="341" t="s">
        <v>429</v>
      </c>
      <c r="C46" s="342" t="str">
        <f>"619217651719"</f>
        <v>619217651719</v>
      </c>
      <c r="D46" s="340">
        <v>2.4</v>
      </c>
      <c r="E46" s="41" t="s">
        <v>419</v>
      </c>
    </row>
    <row r="47" spans="1:5" x14ac:dyDescent="0.25">
      <c r="A47" s="348" t="s">
        <v>664</v>
      </c>
      <c r="B47" s="341" t="s">
        <v>429</v>
      </c>
      <c r="C47" s="342" t="str">
        <f>"619217861718"</f>
        <v>619217861718</v>
      </c>
      <c r="D47" s="340">
        <v>2.2829999999999999</v>
      </c>
      <c r="E47" s="41" t="s">
        <v>419</v>
      </c>
    </row>
    <row r="48" spans="1:5" x14ac:dyDescent="0.25">
      <c r="A48" s="348" t="s">
        <v>664</v>
      </c>
      <c r="B48" s="341" t="s">
        <v>429</v>
      </c>
      <c r="C48" s="342" t="str">
        <f>"619217651717"</f>
        <v>619217651717</v>
      </c>
      <c r="D48" s="340">
        <v>2.2669999999999999</v>
      </c>
      <c r="E48" s="41" t="s">
        <v>419</v>
      </c>
    </row>
    <row r="49" spans="1:5" x14ac:dyDescent="0.25">
      <c r="A49" s="348" t="s">
        <v>664</v>
      </c>
      <c r="B49" s="341" t="s">
        <v>429</v>
      </c>
      <c r="C49" s="342" t="str">
        <f>"619217651716"</f>
        <v>619217651716</v>
      </c>
      <c r="D49" s="340">
        <v>2.117</v>
      </c>
      <c r="E49" s="41" t="s">
        <v>419</v>
      </c>
    </row>
    <row r="50" spans="1:5" x14ac:dyDescent="0.25">
      <c r="A50" s="348" t="s">
        <v>664</v>
      </c>
      <c r="B50" s="341" t="s">
        <v>429</v>
      </c>
      <c r="C50" s="342" t="str">
        <f>"619217651715"</f>
        <v>619217651715</v>
      </c>
      <c r="D50" s="340">
        <v>2.0830000000000002</v>
      </c>
      <c r="E50" s="41" t="s">
        <v>419</v>
      </c>
    </row>
    <row r="51" spans="1:5" x14ac:dyDescent="0.25">
      <c r="A51" s="348" t="s">
        <v>664</v>
      </c>
      <c r="B51" s="341" t="s">
        <v>429</v>
      </c>
      <c r="C51" s="342" t="str">
        <f>"619217861714"</f>
        <v>619217861714</v>
      </c>
      <c r="D51" s="340">
        <v>2.0830000000000002</v>
      </c>
      <c r="E51" s="41" t="s">
        <v>419</v>
      </c>
    </row>
    <row r="52" spans="1:5" x14ac:dyDescent="0.25">
      <c r="A52" s="348" t="s">
        <v>664</v>
      </c>
      <c r="B52" s="341" t="s">
        <v>429</v>
      </c>
      <c r="C52" s="342" t="str">
        <f>"619217861713"</f>
        <v>619217861713</v>
      </c>
      <c r="D52" s="340">
        <v>2</v>
      </c>
      <c r="E52" s="41" t="s">
        <v>419</v>
      </c>
    </row>
    <row r="53" spans="1:5" x14ac:dyDescent="0.25">
      <c r="A53" s="348" t="s">
        <v>664</v>
      </c>
      <c r="B53" s="341" t="s">
        <v>429</v>
      </c>
      <c r="C53" s="342" t="str">
        <f>"619217861712"</f>
        <v>619217861712</v>
      </c>
      <c r="D53" s="340">
        <v>2</v>
      </c>
      <c r="E53" s="41" t="s">
        <v>419</v>
      </c>
    </row>
    <row r="54" spans="1:5" x14ac:dyDescent="0.25">
      <c r="A54" s="348" t="s">
        <v>664</v>
      </c>
      <c r="B54" s="341" t="s">
        <v>429</v>
      </c>
      <c r="C54" s="342" t="str">
        <f>"619217651711"</f>
        <v>619217651711</v>
      </c>
      <c r="D54" s="340">
        <v>2</v>
      </c>
      <c r="E54" s="41" t="s">
        <v>419</v>
      </c>
    </row>
    <row r="55" spans="1:5" x14ac:dyDescent="0.25">
      <c r="A55" s="348" t="s">
        <v>664</v>
      </c>
      <c r="B55" s="341" t="s">
        <v>429</v>
      </c>
      <c r="C55" s="342" t="str">
        <f>"619217651710"</f>
        <v>619217651710</v>
      </c>
      <c r="D55" s="340">
        <v>1.95</v>
      </c>
      <c r="E55" s="41" t="s">
        <v>419</v>
      </c>
    </row>
    <row r="56" spans="1:5" x14ac:dyDescent="0.25">
      <c r="A56" s="348" t="s">
        <v>664</v>
      </c>
      <c r="B56" s="341" t="s">
        <v>429</v>
      </c>
      <c r="C56" s="342" t="str">
        <f>"619217861709"</f>
        <v>619217861709</v>
      </c>
      <c r="D56" s="340">
        <v>1.9330000000000001</v>
      </c>
      <c r="E56" s="41" t="s">
        <v>419</v>
      </c>
    </row>
    <row r="57" spans="1:5" x14ac:dyDescent="0.25">
      <c r="A57" s="348" t="s">
        <v>664</v>
      </c>
      <c r="B57" s="341" t="s">
        <v>429</v>
      </c>
      <c r="C57" s="342" t="str">
        <f>"619217651708"</f>
        <v>619217651708</v>
      </c>
      <c r="D57" s="340">
        <v>1.9330000000000001</v>
      </c>
      <c r="E57" s="41" t="s">
        <v>419</v>
      </c>
    </row>
    <row r="58" spans="1:5" x14ac:dyDescent="0.25">
      <c r="A58" s="348" t="s">
        <v>664</v>
      </c>
      <c r="B58" s="341" t="s">
        <v>429</v>
      </c>
      <c r="C58" s="342" t="str">
        <f>"619217651707"</f>
        <v>619217651707</v>
      </c>
      <c r="D58" s="340">
        <v>1.917</v>
      </c>
      <c r="E58" s="41" t="s">
        <v>419</v>
      </c>
    </row>
    <row r="59" spans="1:5" x14ac:dyDescent="0.25">
      <c r="A59" s="348" t="s">
        <v>664</v>
      </c>
      <c r="B59" s="341" t="s">
        <v>429</v>
      </c>
      <c r="C59" s="342" t="str">
        <f>"619217861706"</f>
        <v>619217861706</v>
      </c>
      <c r="D59" s="340">
        <v>1.883</v>
      </c>
      <c r="E59" s="41" t="s">
        <v>419</v>
      </c>
    </row>
    <row r="60" spans="1:5" x14ac:dyDescent="0.25">
      <c r="A60" s="349" t="s">
        <v>664</v>
      </c>
      <c r="B60" s="343" t="s">
        <v>429</v>
      </c>
      <c r="C60" s="342" t="str">
        <f>"619217861705"</f>
        <v>619217861705</v>
      </c>
      <c r="D60" s="340">
        <v>1.7829999999999999</v>
      </c>
      <c r="E60" s="66" t="s">
        <v>420</v>
      </c>
    </row>
    <row r="61" spans="1:5" x14ac:dyDescent="0.25">
      <c r="A61" s="349" t="s">
        <v>664</v>
      </c>
      <c r="B61" s="343" t="s">
        <v>429</v>
      </c>
      <c r="C61" s="342" t="str">
        <f>"619217861704"</f>
        <v>619217861704</v>
      </c>
      <c r="D61" s="340">
        <v>1.7669999999999999</v>
      </c>
      <c r="E61" s="66" t="s">
        <v>420</v>
      </c>
    </row>
    <row r="62" spans="1:5" x14ac:dyDescent="0.25">
      <c r="A62" s="349" t="s">
        <v>664</v>
      </c>
      <c r="B62" s="343" t="s">
        <v>429</v>
      </c>
      <c r="C62" s="342" t="str">
        <f>"619217651703"</f>
        <v>619217651703</v>
      </c>
      <c r="D62" s="340">
        <v>1.7</v>
      </c>
      <c r="E62" s="66" t="s">
        <v>420</v>
      </c>
    </row>
    <row r="63" spans="1:5" x14ac:dyDescent="0.25">
      <c r="A63" s="349" t="s">
        <v>664</v>
      </c>
      <c r="B63" s="343" t="s">
        <v>429</v>
      </c>
      <c r="C63" s="342" t="str">
        <f>"619217861702"</f>
        <v>619217861702</v>
      </c>
      <c r="D63" s="340">
        <v>1.6830000000000001</v>
      </c>
      <c r="E63" s="66" t="s">
        <v>420</v>
      </c>
    </row>
    <row r="64" spans="1:5" ht="15.75" thickBot="1" x14ac:dyDescent="0.3">
      <c r="A64" s="352" t="s">
        <v>664</v>
      </c>
      <c r="B64" s="353" t="s">
        <v>429</v>
      </c>
      <c r="C64" s="354" t="str">
        <f>"619217651701"</f>
        <v>619217651701</v>
      </c>
      <c r="D64" s="355">
        <v>1.4</v>
      </c>
      <c r="E64" s="119" t="s">
        <v>420</v>
      </c>
    </row>
    <row r="65" spans="1:5" x14ac:dyDescent="0.25">
      <c r="A65" s="344" t="s">
        <v>664</v>
      </c>
      <c r="B65" s="356" t="s">
        <v>430</v>
      </c>
      <c r="C65" s="346" t="str">
        <f>"619217861724"</f>
        <v>619217861724</v>
      </c>
      <c r="D65" s="49">
        <v>2.4830000000000001</v>
      </c>
      <c r="E65" s="39" t="s">
        <v>419</v>
      </c>
    </row>
    <row r="66" spans="1:5" x14ac:dyDescent="0.25">
      <c r="A66" s="348" t="s">
        <v>664</v>
      </c>
      <c r="B66" s="308" t="s">
        <v>430</v>
      </c>
      <c r="C66" s="342" t="str">
        <f>"619217651725"</f>
        <v>619217651725</v>
      </c>
      <c r="D66" s="2">
        <v>2.4329999999999998</v>
      </c>
      <c r="E66" s="41" t="s">
        <v>419</v>
      </c>
    </row>
    <row r="67" spans="1:5" x14ac:dyDescent="0.25">
      <c r="A67" s="348" t="s">
        <v>664</v>
      </c>
      <c r="B67" s="308" t="s">
        <v>430</v>
      </c>
      <c r="C67" s="342" t="str">
        <f>"619217861726"</f>
        <v>619217861726</v>
      </c>
      <c r="D67" s="2">
        <v>2.4</v>
      </c>
      <c r="E67" s="41" t="s">
        <v>419</v>
      </c>
    </row>
    <row r="68" spans="1:5" x14ac:dyDescent="0.25">
      <c r="A68" s="348" t="s">
        <v>664</v>
      </c>
      <c r="B68" s="308" t="s">
        <v>430</v>
      </c>
      <c r="C68" s="342" t="str">
        <f>"619217651727"</f>
        <v>619217651727</v>
      </c>
      <c r="D68" s="2">
        <v>2.3330000000000002</v>
      </c>
      <c r="E68" s="41" t="s">
        <v>419</v>
      </c>
    </row>
    <row r="69" spans="1:5" x14ac:dyDescent="0.25">
      <c r="A69" s="348" t="s">
        <v>664</v>
      </c>
      <c r="B69" s="308" t="s">
        <v>430</v>
      </c>
      <c r="C69" s="342" t="str">
        <f>"619217861728"</f>
        <v>619217861728</v>
      </c>
      <c r="D69" s="2">
        <v>2.3170000000000002</v>
      </c>
      <c r="E69" s="41" t="s">
        <v>419</v>
      </c>
    </row>
    <row r="70" spans="1:5" x14ac:dyDescent="0.25">
      <c r="A70" s="348" t="s">
        <v>664</v>
      </c>
      <c r="B70" s="308" t="s">
        <v>430</v>
      </c>
      <c r="C70" s="342" t="str">
        <f>"619217651729"</f>
        <v>619217651729</v>
      </c>
      <c r="D70" s="2">
        <v>2.2669999999999999</v>
      </c>
      <c r="E70" s="41" t="s">
        <v>419</v>
      </c>
    </row>
    <row r="71" spans="1:5" x14ac:dyDescent="0.25">
      <c r="A71" s="348" t="s">
        <v>664</v>
      </c>
      <c r="B71" s="308" t="s">
        <v>430</v>
      </c>
      <c r="C71" s="342" t="str">
        <f>"619217861730"</f>
        <v>619217861730</v>
      </c>
      <c r="D71" s="2">
        <v>2.2669999999999999</v>
      </c>
      <c r="E71" s="41" t="s">
        <v>419</v>
      </c>
    </row>
    <row r="72" spans="1:5" x14ac:dyDescent="0.25">
      <c r="A72" s="348" t="s">
        <v>664</v>
      </c>
      <c r="B72" s="308" t="s">
        <v>430</v>
      </c>
      <c r="C72" s="342" t="str">
        <f>"619217651731"</f>
        <v>619217651731</v>
      </c>
      <c r="D72" s="2">
        <v>2.2330000000000001</v>
      </c>
      <c r="E72" s="41" t="s">
        <v>419</v>
      </c>
    </row>
    <row r="73" spans="1:5" x14ac:dyDescent="0.25">
      <c r="A73" s="348" t="s">
        <v>664</v>
      </c>
      <c r="B73" s="308" t="s">
        <v>430</v>
      </c>
      <c r="C73" s="342" t="str">
        <f>"619217651757"</f>
        <v>619217651757</v>
      </c>
      <c r="D73" s="2">
        <v>2.0499999999999998</v>
      </c>
      <c r="E73" s="41" t="s">
        <v>419</v>
      </c>
    </row>
    <row r="74" spans="1:5" x14ac:dyDescent="0.25">
      <c r="A74" s="348" t="s">
        <v>664</v>
      </c>
      <c r="B74" s="308" t="s">
        <v>430</v>
      </c>
      <c r="C74" s="342" t="str">
        <f>"619217651751"</f>
        <v>619217651751</v>
      </c>
      <c r="D74" s="2">
        <v>1.9330000000000001</v>
      </c>
      <c r="E74" s="41" t="s">
        <v>419</v>
      </c>
    </row>
    <row r="75" spans="1:5" x14ac:dyDescent="0.25">
      <c r="A75" s="349" t="s">
        <v>664</v>
      </c>
      <c r="B75" s="14" t="s">
        <v>430</v>
      </c>
      <c r="C75" s="342" t="str">
        <f>"619217651750"</f>
        <v>619217651750</v>
      </c>
      <c r="D75" s="181">
        <v>1.9330000000000001</v>
      </c>
      <c r="E75" s="66" t="s">
        <v>420</v>
      </c>
    </row>
    <row r="76" spans="1:5" x14ac:dyDescent="0.25">
      <c r="A76" s="349" t="s">
        <v>664</v>
      </c>
      <c r="B76" s="14" t="s">
        <v>430</v>
      </c>
      <c r="C76" s="342" t="str">
        <f>"619217651749"</f>
        <v>619217651749</v>
      </c>
      <c r="D76" s="181">
        <v>1.9</v>
      </c>
      <c r="E76" s="66" t="s">
        <v>420</v>
      </c>
    </row>
    <row r="77" spans="1:5" x14ac:dyDescent="0.25">
      <c r="A77" s="349" t="s">
        <v>664</v>
      </c>
      <c r="B77" s="14" t="s">
        <v>430</v>
      </c>
      <c r="C77" s="342" t="str">
        <f>"619217651748"</f>
        <v>619217651748</v>
      </c>
      <c r="D77" s="181">
        <v>1.9</v>
      </c>
      <c r="E77" s="66" t="s">
        <v>420</v>
      </c>
    </row>
    <row r="78" spans="1:5" x14ac:dyDescent="0.25">
      <c r="A78" s="349" t="s">
        <v>664</v>
      </c>
      <c r="B78" s="14" t="s">
        <v>430</v>
      </c>
      <c r="C78" s="342" t="str">
        <f>"619217651747"</f>
        <v>619217651747</v>
      </c>
      <c r="D78" s="181">
        <v>1.85</v>
      </c>
      <c r="E78" s="66" t="s">
        <v>420</v>
      </c>
    </row>
    <row r="79" spans="1:5" x14ac:dyDescent="0.25">
      <c r="A79" s="349" t="s">
        <v>664</v>
      </c>
      <c r="B79" s="14" t="s">
        <v>430</v>
      </c>
      <c r="C79" s="342" t="str">
        <f>"619217861746"</f>
        <v>619217861746</v>
      </c>
      <c r="D79" s="181">
        <v>1.8169999999999999</v>
      </c>
      <c r="E79" s="66" t="s">
        <v>420</v>
      </c>
    </row>
    <row r="80" spans="1:5" x14ac:dyDescent="0.25">
      <c r="A80" s="349" t="s">
        <v>664</v>
      </c>
      <c r="B80" s="14" t="s">
        <v>430</v>
      </c>
      <c r="C80" s="342" t="str">
        <f>"619217861745"</f>
        <v>619217861745</v>
      </c>
      <c r="D80" s="181">
        <v>1.8169999999999999</v>
      </c>
      <c r="E80" s="66" t="s">
        <v>420</v>
      </c>
    </row>
    <row r="81" spans="1:5" x14ac:dyDescent="0.25">
      <c r="A81" s="349" t="s">
        <v>664</v>
      </c>
      <c r="B81" s="14" t="s">
        <v>430</v>
      </c>
      <c r="C81" s="342" t="str">
        <f>"619217651744"</f>
        <v>619217651744</v>
      </c>
      <c r="D81" s="181">
        <v>1.7829999999999999</v>
      </c>
      <c r="E81" s="66" t="s">
        <v>420</v>
      </c>
    </row>
    <row r="82" spans="1:5" x14ac:dyDescent="0.25">
      <c r="A82" s="349" t="s">
        <v>664</v>
      </c>
      <c r="B82" s="14" t="s">
        <v>430</v>
      </c>
      <c r="C82" s="342" t="str">
        <f>"619217651743"</f>
        <v>619217651743</v>
      </c>
      <c r="D82" s="181">
        <v>1.75</v>
      </c>
      <c r="E82" s="66" t="s">
        <v>420</v>
      </c>
    </row>
    <row r="83" spans="1:5" x14ac:dyDescent="0.25">
      <c r="A83" s="349" t="s">
        <v>664</v>
      </c>
      <c r="B83" s="14" t="s">
        <v>430</v>
      </c>
      <c r="C83" s="342" t="str">
        <f>"619217651742"</f>
        <v>619217651742</v>
      </c>
      <c r="D83" s="181">
        <v>1.75</v>
      </c>
      <c r="E83" s="66" t="s">
        <v>420</v>
      </c>
    </row>
    <row r="84" spans="1:5" x14ac:dyDescent="0.25">
      <c r="A84" s="349" t="s">
        <v>664</v>
      </c>
      <c r="B84" s="14" t="s">
        <v>430</v>
      </c>
      <c r="C84" s="342" t="str">
        <f>"619217861741"</f>
        <v>619217861741</v>
      </c>
      <c r="D84" s="181">
        <v>1.65</v>
      </c>
      <c r="E84" s="66" t="s">
        <v>420</v>
      </c>
    </row>
    <row r="85" spans="1:5" x14ac:dyDescent="0.25">
      <c r="A85" s="349" t="s">
        <v>664</v>
      </c>
      <c r="B85" s="14" t="s">
        <v>430</v>
      </c>
      <c r="C85" s="342" t="str">
        <f>"619217861740"</f>
        <v>619217861740</v>
      </c>
      <c r="D85" s="181">
        <v>1.633</v>
      </c>
      <c r="E85" s="66" t="s">
        <v>420</v>
      </c>
    </row>
    <row r="86" spans="1:5" x14ac:dyDescent="0.25">
      <c r="A86" s="349" t="s">
        <v>664</v>
      </c>
      <c r="B86" s="14" t="s">
        <v>430</v>
      </c>
      <c r="C86" s="342" t="str">
        <f>"619217651739"</f>
        <v>619217651739</v>
      </c>
      <c r="D86" s="181">
        <v>1.583</v>
      </c>
      <c r="E86" s="66" t="s">
        <v>420</v>
      </c>
    </row>
    <row r="87" spans="1:5" x14ac:dyDescent="0.25">
      <c r="A87" s="349" t="s">
        <v>664</v>
      </c>
      <c r="B87" s="14" t="s">
        <v>430</v>
      </c>
      <c r="C87" s="342" t="str">
        <f>"619217651738"</f>
        <v>619217651738</v>
      </c>
      <c r="D87" s="181">
        <v>1.4670000000000001</v>
      </c>
      <c r="E87" s="66" t="s">
        <v>420</v>
      </c>
    </row>
    <row r="88" spans="1:5" x14ac:dyDescent="0.25">
      <c r="A88" s="349" t="s">
        <v>664</v>
      </c>
      <c r="B88" s="14" t="s">
        <v>430</v>
      </c>
      <c r="C88" s="342" t="str">
        <f>"619217861737"</f>
        <v>619217861737</v>
      </c>
      <c r="D88" s="181">
        <v>1.4330000000000001</v>
      </c>
      <c r="E88" s="66" t="s">
        <v>420</v>
      </c>
    </row>
    <row r="89" spans="1:5" ht="15.75" thickBot="1" x14ac:dyDescent="0.3">
      <c r="A89" s="352" t="s">
        <v>664</v>
      </c>
      <c r="B89" s="360" t="s">
        <v>430</v>
      </c>
      <c r="C89" s="354" t="str">
        <f>"619217651736"</f>
        <v>619217651736</v>
      </c>
      <c r="D89" s="361">
        <v>1.417</v>
      </c>
      <c r="E89" s="119" t="s">
        <v>420</v>
      </c>
    </row>
    <row r="90" spans="1:5" x14ac:dyDescent="0.25">
      <c r="A90" s="344" t="s">
        <v>664</v>
      </c>
      <c r="B90" s="356" t="s">
        <v>431</v>
      </c>
      <c r="C90" s="346" t="str">
        <f>"619217651722"</f>
        <v>619217651722</v>
      </c>
      <c r="D90" s="188">
        <v>2.3170000000000002</v>
      </c>
      <c r="E90" s="362" t="s">
        <v>419</v>
      </c>
    </row>
    <row r="91" spans="1:5" x14ac:dyDescent="0.25">
      <c r="A91" s="348" t="s">
        <v>664</v>
      </c>
      <c r="B91" s="308" t="s">
        <v>431</v>
      </c>
      <c r="C91" s="342" t="str">
        <f>"619217861723"</f>
        <v>619217861723</v>
      </c>
      <c r="D91" s="181">
        <v>2.2330000000000001</v>
      </c>
      <c r="E91" s="358" t="s">
        <v>419</v>
      </c>
    </row>
    <row r="92" spans="1:5" x14ac:dyDescent="0.25">
      <c r="A92" s="349" t="s">
        <v>664</v>
      </c>
      <c r="B92" s="360" t="s">
        <v>431</v>
      </c>
      <c r="C92" s="354" t="str">
        <f>"619217651700"</f>
        <v>619217651700</v>
      </c>
      <c r="D92" s="361">
        <v>1.7669999999999999</v>
      </c>
      <c r="E92" s="359" t="s">
        <v>420</v>
      </c>
    </row>
    <row r="93" spans="1:5" ht="15.75" thickBot="1" x14ac:dyDescent="0.3">
      <c r="A93" s="350" t="s">
        <v>664</v>
      </c>
      <c r="B93" s="357" t="s">
        <v>431</v>
      </c>
      <c r="C93" s="420" t="str">
        <f>"619217861754"</f>
        <v>619217861754</v>
      </c>
      <c r="D93" s="189">
        <v>1.633</v>
      </c>
      <c r="E93" s="421" t="s">
        <v>420</v>
      </c>
    </row>
    <row r="94" spans="1:5" x14ac:dyDescent="0.25">
      <c r="A94" s="5" t="s">
        <v>753</v>
      </c>
      <c r="B94" s="2" t="s">
        <v>429</v>
      </c>
      <c r="C94" s="86" t="s">
        <v>754</v>
      </c>
      <c r="D94" s="86">
        <v>2.2170000000000001</v>
      </c>
      <c r="E94" s="419" t="s">
        <v>419</v>
      </c>
    </row>
    <row r="95" spans="1:5" x14ac:dyDescent="0.25">
      <c r="A95" s="5" t="s">
        <v>753</v>
      </c>
      <c r="B95" s="2" t="s">
        <v>429</v>
      </c>
      <c r="C95" s="2" t="s">
        <v>755</v>
      </c>
      <c r="D95" s="2">
        <v>2.1829999999999998</v>
      </c>
      <c r="E95" s="306" t="s">
        <v>419</v>
      </c>
    </row>
    <row r="96" spans="1:5" x14ac:dyDescent="0.25">
      <c r="A96" s="5" t="s">
        <v>753</v>
      </c>
      <c r="B96" s="2" t="s">
        <v>429</v>
      </c>
      <c r="C96" s="2" t="s">
        <v>756</v>
      </c>
      <c r="D96" s="2">
        <v>1.9330000000000001</v>
      </c>
      <c r="E96" s="306" t="s">
        <v>419</v>
      </c>
    </row>
    <row r="97" spans="1:5" x14ac:dyDescent="0.25">
      <c r="A97" s="5" t="s">
        <v>753</v>
      </c>
      <c r="B97" s="2" t="s">
        <v>429</v>
      </c>
      <c r="C97" s="2" t="s">
        <v>757</v>
      </c>
      <c r="D97" s="2">
        <v>1.917</v>
      </c>
      <c r="E97" s="306" t="s">
        <v>419</v>
      </c>
    </row>
    <row r="98" spans="1:5" x14ac:dyDescent="0.25">
      <c r="A98" s="5" t="s">
        <v>753</v>
      </c>
      <c r="B98" s="2" t="s">
        <v>429</v>
      </c>
      <c r="C98" s="2" t="s">
        <v>758</v>
      </c>
      <c r="D98" s="2">
        <v>1.883</v>
      </c>
      <c r="E98" s="306" t="s">
        <v>419</v>
      </c>
    </row>
    <row r="99" spans="1:5" x14ac:dyDescent="0.25">
      <c r="A99" s="5" t="s">
        <v>753</v>
      </c>
      <c r="B99" s="2" t="s">
        <v>429</v>
      </c>
      <c r="C99" s="2" t="s">
        <v>759</v>
      </c>
      <c r="D99" s="2">
        <v>1.883</v>
      </c>
      <c r="E99" s="306" t="s">
        <v>419</v>
      </c>
    </row>
    <row r="100" spans="1:5" x14ac:dyDescent="0.25">
      <c r="A100" s="5" t="s">
        <v>753</v>
      </c>
      <c r="B100" s="2" t="s">
        <v>429</v>
      </c>
      <c r="C100" s="2" t="s">
        <v>760</v>
      </c>
      <c r="D100" s="2">
        <v>1.867</v>
      </c>
      <c r="E100" s="306" t="s">
        <v>419</v>
      </c>
    </row>
    <row r="101" spans="1:5" x14ac:dyDescent="0.25">
      <c r="A101" s="5" t="s">
        <v>753</v>
      </c>
      <c r="B101" s="2" t="s">
        <v>429</v>
      </c>
      <c r="C101" s="2" t="s">
        <v>761</v>
      </c>
      <c r="D101" s="2">
        <v>1.867</v>
      </c>
      <c r="E101" s="306" t="s">
        <v>419</v>
      </c>
    </row>
    <row r="102" spans="1:5" x14ac:dyDescent="0.25">
      <c r="A102" s="5" t="s">
        <v>753</v>
      </c>
      <c r="B102" s="2" t="s">
        <v>429</v>
      </c>
      <c r="C102" s="2" t="s">
        <v>762</v>
      </c>
      <c r="D102" s="2">
        <v>1.867</v>
      </c>
      <c r="E102" s="306" t="s">
        <v>419</v>
      </c>
    </row>
    <row r="103" spans="1:5" x14ac:dyDescent="0.25">
      <c r="A103" s="5" t="s">
        <v>753</v>
      </c>
      <c r="B103" s="2" t="s">
        <v>429</v>
      </c>
      <c r="C103" s="2" t="s">
        <v>763</v>
      </c>
      <c r="D103" s="2">
        <v>1.7330000000000001</v>
      </c>
      <c r="E103" s="310" t="s">
        <v>420</v>
      </c>
    </row>
    <row r="104" spans="1:5" x14ac:dyDescent="0.25">
      <c r="A104" s="5" t="s">
        <v>753</v>
      </c>
      <c r="B104" s="2" t="s">
        <v>429</v>
      </c>
      <c r="C104" s="2" t="s">
        <v>764</v>
      </c>
      <c r="D104" s="2">
        <v>1.7170000000000001</v>
      </c>
      <c r="E104" s="310" t="s">
        <v>420</v>
      </c>
    </row>
    <row r="105" spans="1:5" x14ac:dyDescent="0.25">
      <c r="A105" s="5" t="s">
        <v>753</v>
      </c>
      <c r="B105" s="2" t="s">
        <v>429</v>
      </c>
      <c r="C105" s="2" t="s">
        <v>765</v>
      </c>
      <c r="D105" s="2">
        <v>1.7170000000000001</v>
      </c>
      <c r="E105" s="310" t="s">
        <v>420</v>
      </c>
    </row>
    <row r="106" spans="1:5" x14ac:dyDescent="0.25">
      <c r="A106" s="5" t="s">
        <v>753</v>
      </c>
      <c r="B106" s="2" t="s">
        <v>429</v>
      </c>
      <c r="C106" s="2" t="s">
        <v>766</v>
      </c>
      <c r="D106" s="2">
        <v>1.583</v>
      </c>
      <c r="E106" s="310" t="s">
        <v>420</v>
      </c>
    </row>
    <row r="107" spans="1:5" x14ac:dyDescent="0.25">
      <c r="A107" s="5" t="s">
        <v>753</v>
      </c>
      <c r="B107" s="2" t="s">
        <v>429</v>
      </c>
      <c r="C107" s="2" t="s">
        <v>767</v>
      </c>
      <c r="D107" s="2">
        <v>1.5669999999999999</v>
      </c>
      <c r="E107" s="310" t="s">
        <v>420</v>
      </c>
    </row>
    <row r="108" spans="1:5" x14ac:dyDescent="0.25">
      <c r="A108" s="5" t="s">
        <v>753</v>
      </c>
      <c r="B108" s="2" t="s">
        <v>429</v>
      </c>
      <c r="C108" s="2" t="s">
        <v>768</v>
      </c>
      <c r="D108" s="2">
        <v>1.3169999999999999</v>
      </c>
      <c r="E108" s="310" t="s">
        <v>420</v>
      </c>
    </row>
    <row r="109" spans="1:5" ht="15.75" thickBot="1" x14ac:dyDescent="0.3">
      <c r="A109" s="44" t="s">
        <v>753</v>
      </c>
      <c r="B109" s="51" t="s">
        <v>429</v>
      </c>
      <c r="C109" s="51" t="s">
        <v>769</v>
      </c>
      <c r="D109" s="51">
        <v>1.2330000000000001</v>
      </c>
      <c r="E109" s="422" t="s">
        <v>420</v>
      </c>
    </row>
    <row r="110" spans="1:5" x14ac:dyDescent="0.25">
      <c r="A110" s="185" t="s">
        <v>753</v>
      </c>
      <c r="B110" s="86" t="s">
        <v>430</v>
      </c>
      <c r="C110" s="86" t="s">
        <v>770</v>
      </c>
      <c r="D110" s="382">
        <v>2.2330000000000001</v>
      </c>
      <c r="E110" s="423" t="s">
        <v>419</v>
      </c>
    </row>
    <row r="111" spans="1:5" x14ac:dyDescent="0.25">
      <c r="A111" s="5" t="s">
        <v>753</v>
      </c>
      <c r="B111" s="2" t="s">
        <v>430</v>
      </c>
      <c r="C111" s="2" t="s">
        <v>771</v>
      </c>
      <c r="D111" s="8">
        <v>2.1829999999999998</v>
      </c>
      <c r="E111" s="306" t="s">
        <v>419</v>
      </c>
    </row>
    <row r="112" spans="1:5" x14ac:dyDescent="0.25">
      <c r="A112" s="5" t="s">
        <v>753</v>
      </c>
      <c r="B112" s="2" t="s">
        <v>430</v>
      </c>
      <c r="C112" s="2" t="s">
        <v>772</v>
      </c>
      <c r="D112" s="8">
        <v>2.133</v>
      </c>
      <c r="E112" s="306" t="s">
        <v>419</v>
      </c>
    </row>
    <row r="113" spans="1:5" x14ac:dyDescent="0.25">
      <c r="A113" s="5" t="s">
        <v>753</v>
      </c>
      <c r="B113" s="2" t="s">
        <v>430</v>
      </c>
      <c r="C113" s="2" t="s">
        <v>773</v>
      </c>
      <c r="D113" s="8">
        <v>2.133</v>
      </c>
      <c r="E113" s="306" t="s">
        <v>419</v>
      </c>
    </row>
    <row r="114" spans="1:5" x14ac:dyDescent="0.25">
      <c r="A114" s="5" t="s">
        <v>753</v>
      </c>
      <c r="B114" s="2" t="s">
        <v>430</v>
      </c>
      <c r="C114" s="2" t="s">
        <v>774</v>
      </c>
      <c r="D114" s="8">
        <v>2.117</v>
      </c>
      <c r="E114" s="306" t="s">
        <v>419</v>
      </c>
    </row>
    <row r="115" spans="1:5" x14ac:dyDescent="0.25">
      <c r="A115" s="5" t="s">
        <v>753</v>
      </c>
      <c r="B115" s="2" t="s">
        <v>430</v>
      </c>
      <c r="C115" s="2" t="s">
        <v>775</v>
      </c>
      <c r="D115" s="8">
        <v>2.0830000000000002</v>
      </c>
      <c r="E115" s="306" t="s">
        <v>419</v>
      </c>
    </row>
    <row r="116" spans="1:5" x14ac:dyDescent="0.25">
      <c r="A116" s="5" t="s">
        <v>753</v>
      </c>
      <c r="B116" s="2" t="s">
        <v>430</v>
      </c>
      <c r="C116" s="2" t="s">
        <v>776</v>
      </c>
      <c r="D116" s="8">
        <v>2.0499999999999998</v>
      </c>
      <c r="E116" s="306" t="s">
        <v>419</v>
      </c>
    </row>
    <row r="117" spans="1:5" x14ac:dyDescent="0.25">
      <c r="A117" s="5" t="s">
        <v>753</v>
      </c>
      <c r="B117" s="2" t="s">
        <v>430</v>
      </c>
      <c r="C117" s="2" t="s">
        <v>777</v>
      </c>
      <c r="D117" s="8">
        <v>2</v>
      </c>
      <c r="E117" s="306" t="s">
        <v>419</v>
      </c>
    </row>
    <row r="118" spans="1:5" x14ac:dyDescent="0.25">
      <c r="A118" s="5" t="s">
        <v>753</v>
      </c>
      <c r="B118" s="2" t="s">
        <v>430</v>
      </c>
      <c r="C118" s="2" t="s">
        <v>778</v>
      </c>
      <c r="D118" s="8">
        <v>1.9830000000000001</v>
      </c>
      <c r="E118" s="306" t="s">
        <v>419</v>
      </c>
    </row>
    <row r="119" spans="1:5" x14ac:dyDescent="0.25">
      <c r="A119" s="5" t="s">
        <v>753</v>
      </c>
      <c r="B119" s="2" t="s">
        <v>430</v>
      </c>
      <c r="C119" s="2" t="s">
        <v>779</v>
      </c>
      <c r="D119" s="8">
        <v>1.9830000000000001</v>
      </c>
      <c r="E119" s="306" t="s">
        <v>419</v>
      </c>
    </row>
    <row r="120" spans="1:5" x14ac:dyDescent="0.25">
      <c r="A120" s="5" t="s">
        <v>753</v>
      </c>
      <c r="B120" s="2" t="s">
        <v>430</v>
      </c>
      <c r="C120" s="2" t="s">
        <v>780</v>
      </c>
      <c r="D120" s="8">
        <v>1.9670000000000001</v>
      </c>
      <c r="E120" s="306" t="s">
        <v>419</v>
      </c>
    </row>
    <row r="121" spans="1:5" x14ac:dyDescent="0.25">
      <c r="A121" s="5" t="s">
        <v>753</v>
      </c>
      <c r="B121" s="2" t="s">
        <v>430</v>
      </c>
      <c r="C121" s="2" t="s">
        <v>781</v>
      </c>
      <c r="D121" s="8">
        <v>1.9330000000000001</v>
      </c>
      <c r="E121" s="306" t="s">
        <v>419</v>
      </c>
    </row>
    <row r="122" spans="1:5" x14ac:dyDescent="0.25">
      <c r="A122" s="5" t="s">
        <v>753</v>
      </c>
      <c r="B122" s="2" t="s">
        <v>430</v>
      </c>
      <c r="C122" s="2" t="s">
        <v>782</v>
      </c>
      <c r="D122" s="8">
        <v>1.917</v>
      </c>
      <c r="E122" s="306" t="s">
        <v>419</v>
      </c>
    </row>
    <row r="123" spans="1:5" x14ac:dyDescent="0.25">
      <c r="A123" s="5" t="s">
        <v>753</v>
      </c>
      <c r="B123" s="2" t="s">
        <v>430</v>
      </c>
      <c r="C123" s="2" t="s">
        <v>783</v>
      </c>
      <c r="D123" s="8">
        <v>1.85</v>
      </c>
      <c r="E123" s="310" t="s">
        <v>420</v>
      </c>
    </row>
    <row r="124" spans="1:5" x14ac:dyDescent="0.25">
      <c r="A124" s="5" t="s">
        <v>753</v>
      </c>
      <c r="B124" s="2" t="s">
        <v>430</v>
      </c>
      <c r="C124" s="2" t="s">
        <v>784</v>
      </c>
      <c r="D124" s="8">
        <v>1.8169999999999999</v>
      </c>
      <c r="E124" s="310" t="s">
        <v>420</v>
      </c>
    </row>
    <row r="125" spans="1:5" x14ac:dyDescent="0.25">
      <c r="A125" s="5" t="s">
        <v>753</v>
      </c>
      <c r="B125" s="2" t="s">
        <v>430</v>
      </c>
      <c r="C125" s="2" t="s">
        <v>785</v>
      </c>
      <c r="D125" s="8">
        <v>1.8</v>
      </c>
      <c r="E125" s="310" t="s">
        <v>420</v>
      </c>
    </row>
    <row r="126" spans="1:5" x14ac:dyDescent="0.25">
      <c r="A126" s="5" t="s">
        <v>753</v>
      </c>
      <c r="B126" s="2" t="s">
        <v>430</v>
      </c>
      <c r="C126" s="2" t="s">
        <v>786</v>
      </c>
      <c r="D126" s="8">
        <v>1.7669999999999999</v>
      </c>
      <c r="E126" s="310" t="s">
        <v>420</v>
      </c>
    </row>
    <row r="127" spans="1:5" x14ac:dyDescent="0.25">
      <c r="A127" s="5" t="s">
        <v>753</v>
      </c>
      <c r="B127" s="2" t="s">
        <v>430</v>
      </c>
      <c r="C127" s="2" t="s">
        <v>787</v>
      </c>
      <c r="D127" s="8">
        <v>1.75</v>
      </c>
      <c r="E127" s="310" t="s">
        <v>420</v>
      </c>
    </row>
    <row r="128" spans="1:5" x14ac:dyDescent="0.25">
      <c r="A128" s="5" t="s">
        <v>753</v>
      </c>
      <c r="B128" s="2" t="s">
        <v>430</v>
      </c>
      <c r="C128" s="2" t="s">
        <v>788</v>
      </c>
      <c r="D128" s="8">
        <v>1.65</v>
      </c>
      <c r="E128" s="310" t="s">
        <v>420</v>
      </c>
    </row>
    <row r="129" spans="1:5" x14ac:dyDescent="0.25">
      <c r="A129" s="5" t="s">
        <v>753</v>
      </c>
      <c r="B129" s="2" t="s">
        <v>430</v>
      </c>
      <c r="C129" s="2" t="s">
        <v>789</v>
      </c>
      <c r="D129" s="8">
        <v>1.633</v>
      </c>
      <c r="E129" s="310" t="s">
        <v>420</v>
      </c>
    </row>
    <row r="130" spans="1:5" x14ac:dyDescent="0.25">
      <c r="A130" s="5" t="s">
        <v>753</v>
      </c>
      <c r="B130" s="2" t="s">
        <v>430</v>
      </c>
      <c r="C130" s="2" t="s">
        <v>790</v>
      </c>
      <c r="D130" s="8">
        <v>1.633</v>
      </c>
      <c r="E130" s="310" t="s">
        <v>420</v>
      </c>
    </row>
    <row r="131" spans="1:5" x14ac:dyDescent="0.25">
      <c r="A131" s="5" t="s">
        <v>753</v>
      </c>
      <c r="B131" s="2" t="s">
        <v>430</v>
      </c>
      <c r="C131" s="2" t="s">
        <v>791</v>
      </c>
      <c r="D131" s="8">
        <v>1.617</v>
      </c>
      <c r="E131" s="310" t="s">
        <v>420</v>
      </c>
    </row>
    <row r="132" spans="1:5" x14ac:dyDescent="0.25">
      <c r="A132" s="5" t="s">
        <v>753</v>
      </c>
      <c r="B132" s="2" t="s">
        <v>430</v>
      </c>
      <c r="C132" s="2" t="s">
        <v>792</v>
      </c>
      <c r="D132" s="8">
        <v>1.6</v>
      </c>
      <c r="E132" s="310" t="s">
        <v>420</v>
      </c>
    </row>
    <row r="133" spans="1:5" x14ac:dyDescent="0.25">
      <c r="A133" s="5" t="s">
        <v>753</v>
      </c>
      <c r="B133" s="2" t="s">
        <v>430</v>
      </c>
      <c r="C133" s="2" t="s">
        <v>793</v>
      </c>
      <c r="D133" s="8">
        <v>1.5669999999999999</v>
      </c>
      <c r="E133" s="310" t="s">
        <v>420</v>
      </c>
    </row>
    <row r="134" spans="1:5" x14ac:dyDescent="0.25">
      <c r="A134" s="5" t="s">
        <v>753</v>
      </c>
      <c r="B134" s="2" t="s">
        <v>430</v>
      </c>
      <c r="C134" s="2" t="s">
        <v>794</v>
      </c>
      <c r="D134" s="8">
        <v>1.5669999999999999</v>
      </c>
      <c r="E134" s="310" t="s">
        <v>420</v>
      </c>
    </row>
    <row r="135" spans="1:5" x14ac:dyDescent="0.25">
      <c r="A135" s="5" t="s">
        <v>753</v>
      </c>
      <c r="B135" s="2" t="s">
        <v>430</v>
      </c>
      <c r="C135" s="2" t="s">
        <v>795</v>
      </c>
      <c r="D135" s="8">
        <v>1.5669999999999999</v>
      </c>
      <c r="E135" s="310" t="s">
        <v>420</v>
      </c>
    </row>
    <row r="136" spans="1:5" ht="15.75" thickBot="1" x14ac:dyDescent="0.3">
      <c r="A136" s="44" t="s">
        <v>753</v>
      </c>
      <c r="B136" s="51" t="s">
        <v>430</v>
      </c>
      <c r="C136" s="51" t="s">
        <v>796</v>
      </c>
      <c r="D136" s="90">
        <v>1.33</v>
      </c>
      <c r="E136" s="422" t="s">
        <v>420</v>
      </c>
    </row>
    <row r="137" spans="1:5" x14ac:dyDescent="0.25">
      <c r="A137" s="185" t="s">
        <v>753</v>
      </c>
      <c r="B137" s="86" t="s">
        <v>457</v>
      </c>
      <c r="C137" s="86" t="s">
        <v>797</v>
      </c>
      <c r="D137" s="382">
        <v>2.0329999999999999</v>
      </c>
      <c r="E137" s="423" t="s">
        <v>419</v>
      </c>
    </row>
    <row r="138" spans="1:5" ht="15.75" thickBot="1" x14ac:dyDescent="0.3">
      <c r="A138" s="44" t="s">
        <v>753</v>
      </c>
      <c r="B138" s="51" t="s">
        <v>457</v>
      </c>
      <c r="C138" s="51" t="s">
        <v>798</v>
      </c>
      <c r="D138" s="90">
        <v>1.8</v>
      </c>
      <c r="E138" s="589" t="s">
        <v>419</v>
      </c>
    </row>
    <row r="139" spans="1:5" x14ac:dyDescent="0.25">
      <c r="A139" s="586" t="s">
        <v>1083</v>
      </c>
      <c r="B139" s="185" t="s">
        <v>1084</v>
      </c>
      <c r="C139" s="587">
        <v>619217643585</v>
      </c>
      <c r="D139" s="588">
        <v>2.4</v>
      </c>
      <c r="E139" s="423" t="s">
        <v>419</v>
      </c>
    </row>
    <row r="140" spans="1:5" x14ac:dyDescent="0.25">
      <c r="A140" s="584" t="s">
        <v>1083</v>
      </c>
      <c r="B140" s="5" t="s">
        <v>1084</v>
      </c>
      <c r="C140" s="581">
        <v>619217643571</v>
      </c>
      <c r="D140" s="19">
        <v>2.367</v>
      </c>
      <c r="E140" s="306" t="s">
        <v>419</v>
      </c>
    </row>
    <row r="141" spans="1:5" x14ac:dyDescent="0.25">
      <c r="A141" s="584" t="s">
        <v>1083</v>
      </c>
      <c r="B141" s="5" t="s">
        <v>1084</v>
      </c>
      <c r="C141" s="581">
        <v>619217873562</v>
      </c>
      <c r="D141" s="19">
        <v>2.3170000000000002</v>
      </c>
      <c r="E141" s="306" t="s">
        <v>419</v>
      </c>
    </row>
    <row r="142" spans="1:5" x14ac:dyDescent="0.25">
      <c r="A142" s="584" t="s">
        <v>1083</v>
      </c>
      <c r="B142" s="5" t="s">
        <v>1084</v>
      </c>
      <c r="C142" s="581">
        <v>619217643568</v>
      </c>
      <c r="D142" s="19">
        <v>2.2330000000000001</v>
      </c>
      <c r="E142" s="306" t="s">
        <v>419</v>
      </c>
    </row>
    <row r="143" spans="1:5" x14ac:dyDescent="0.25">
      <c r="A143" s="584" t="s">
        <v>1083</v>
      </c>
      <c r="B143" s="5" t="s">
        <v>1084</v>
      </c>
      <c r="C143" s="581">
        <v>619217643604</v>
      </c>
      <c r="D143" s="19">
        <v>2.2000000000000002</v>
      </c>
      <c r="E143" s="306" t="s">
        <v>419</v>
      </c>
    </row>
    <row r="144" spans="1:5" x14ac:dyDescent="0.25">
      <c r="A144" s="584" t="s">
        <v>1083</v>
      </c>
      <c r="B144" s="5" t="s">
        <v>1084</v>
      </c>
      <c r="C144" s="581">
        <v>619217873603</v>
      </c>
      <c r="D144" s="19">
        <v>2.117</v>
      </c>
      <c r="E144" s="306" t="s">
        <v>419</v>
      </c>
    </row>
    <row r="145" spans="1:5" x14ac:dyDescent="0.25">
      <c r="A145" s="584" t="s">
        <v>1083</v>
      </c>
      <c r="B145" s="5" t="s">
        <v>1084</v>
      </c>
      <c r="C145" s="581">
        <v>619217873591</v>
      </c>
      <c r="D145" s="19">
        <v>1.9670000000000001</v>
      </c>
      <c r="E145" s="306" t="s">
        <v>419</v>
      </c>
    </row>
    <row r="146" spans="1:5" x14ac:dyDescent="0.25">
      <c r="A146" s="584" t="s">
        <v>1083</v>
      </c>
      <c r="B146" s="5" t="s">
        <v>1084</v>
      </c>
      <c r="C146" s="581">
        <v>619217873559</v>
      </c>
      <c r="D146" s="19">
        <v>1.833</v>
      </c>
      <c r="E146" s="306" t="s">
        <v>419</v>
      </c>
    </row>
    <row r="147" spans="1:5" x14ac:dyDescent="0.25">
      <c r="A147" s="584" t="s">
        <v>1083</v>
      </c>
      <c r="B147" s="5" t="s">
        <v>1084</v>
      </c>
      <c r="C147" s="581">
        <v>619217643587</v>
      </c>
      <c r="D147" s="19">
        <v>1.8169999999999999</v>
      </c>
      <c r="E147" s="306" t="s">
        <v>419</v>
      </c>
    </row>
    <row r="148" spans="1:5" x14ac:dyDescent="0.25">
      <c r="A148" s="584" t="s">
        <v>1083</v>
      </c>
      <c r="B148" s="5" t="s">
        <v>1084</v>
      </c>
      <c r="C148" s="581">
        <v>619217713592</v>
      </c>
      <c r="D148" s="19">
        <v>1.8</v>
      </c>
      <c r="E148" s="306" t="s">
        <v>419</v>
      </c>
    </row>
    <row r="149" spans="1:5" x14ac:dyDescent="0.25">
      <c r="A149" s="584" t="s">
        <v>1083</v>
      </c>
      <c r="B149" s="5" t="s">
        <v>1084</v>
      </c>
      <c r="C149" s="581">
        <v>619217873596</v>
      </c>
      <c r="D149" s="19">
        <v>1.7</v>
      </c>
      <c r="E149" s="310" t="s">
        <v>420</v>
      </c>
    </row>
    <row r="150" spans="1:5" x14ac:dyDescent="0.25">
      <c r="A150" s="584" t="s">
        <v>1083</v>
      </c>
      <c r="B150" s="5" t="s">
        <v>1084</v>
      </c>
      <c r="C150" s="581">
        <v>619217873570</v>
      </c>
      <c r="D150" s="19">
        <v>1.7</v>
      </c>
      <c r="E150" s="310" t="s">
        <v>420</v>
      </c>
    </row>
    <row r="151" spans="1:5" x14ac:dyDescent="0.25">
      <c r="A151" s="584" t="s">
        <v>1083</v>
      </c>
      <c r="B151" s="5" t="s">
        <v>1084</v>
      </c>
      <c r="C151" s="581">
        <v>619217873578</v>
      </c>
      <c r="D151" s="19">
        <v>1.5669999999999999</v>
      </c>
      <c r="E151" s="310" t="s">
        <v>420</v>
      </c>
    </row>
    <row r="152" spans="1:5" ht="15.75" thickBot="1" x14ac:dyDescent="0.3">
      <c r="A152" s="590" t="s">
        <v>1083</v>
      </c>
      <c r="B152" s="44" t="s">
        <v>1084</v>
      </c>
      <c r="C152" s="595">
        <v>619217873590</v>
      </c>
      <c r="D152" s="125">
        <v>1.5169999999999999</v>
      </c>
      <c r="E152" s="422" t="s">
        <v>420</v>
      </c>
    </row>
    <row r="153" spans="1:5" ht="15.75" thickBot="1" x14ac:dyDescent="0.3">
      <c r="A153" s="591" t="s">
        <v>1085</v>
      </c>
      <c r="B153" s="592" t="s">
        <v>430</v>
      </c>
      <c r="C153" s="593">
        <v>619217873577</v>
      </c>
      <c r="D153" s="148">
        <v>2.617</v>
      </c>
      <c r="E153" s="594" t="s">
        <v>419</v>
      </c>
    </row>
    <row r="154" spans="1:5" x14ac:dyDescent="0.25">
      <c r="A154" s="586" t="s">
        <v>1085</v>
      </c>
      <c r="B154" s="396" t="s">
        <v>430</v>
      </c>
      <c r="C154" s="587">
        <v>619217873582</v>
      </c>
      <c r="D154" s="588">
        <v>2.4500000000000002</v>
      </c>
      <c r="E154" s="423" t="s">
        <v>419</v>
      </c>
    </row>
    <row r="155" spans="1:5" x14ac:dyDescent="0.25">
      <c r="A155" s="584" t="s">
        <v>1085</v>
      </c>
      <c r="B155" s="371" t="s">
        <v>430</v>
      </c>
      <c r="C155" s="581">
        <v>619217873572</v>
      </c>
      <c r="D155" s="19">
        <v>2.2330000000000001</v>
      </c>
      <c r="E155" s="306" t="s">
        <v>419</v>
      </c>
    </row>
    <row r="156" spans="1:5" x14ac:dyDescent="0.25">
      <c r="A156" s="584" t="s">
        <v>1085</v>
      </c>
      <c r="B156" s="371" t="s">
        <v>430</v>
      </c>
      <c r="C156" s="581">
        <v>619217873608</v>
      </c>
      <c r="D156" s="19">
        <v>2.2330000000000001</v>
      </c>
      <c r="E156" s="306" t="s">
        <v>419</v>
      </c>
    </row>
    <row r="157" spans="1:5" x14ac:dyDescent="0.25">
      <c r="A157" s="584" t="s">
        <v>1085</v>
      </c>
      <c r="B157" s="371" t="s">
        <v>430</v>
      </c>
      <c r="C157" s="581">
        <v>619217643617</v>
      </c>
      <c r="D157" s="19">
        <v>2.2170000000000001</v>
      </c>
      <c r="E157" s="306" t="s">
        <v>419</v>
      </c>
    </row>
    <row r="158" spans="1:5" x14ac:dyDescent="0.25">
      <c r="A158" s="584" t="s">
        <v>1085</v>
      </c>
      <c r="B158" s="371" t="s">
        <v>430</v>
      </c>
      <c r="C158" s="581">
        <v>619217873580</v>
      </c>
      <c r="D158" s="19">
        <v>2.2000000000000002</v>
      </c>
      <c r="E158" s="306" t="s">
        <v>419</v>
      </c>
    </row>
    <row r="159" spans="1:5" x14ac:dyDescent="0.25">
      <c r="A159" s="584" t="s">
        <v>1085</v>
      </c>
      <c r="B159" s="371" t="s">
        <v>430</v>
      </c>
      <c r="C159" s="581">
        <v>619217873574</v>
      </c>
      <c r="D159" s="2">
        <v>2.1829999999999998</v>
      </c>
      <c r="E159" s="306" t="s">
        <v>419</v>
      </c>
    </row>
    <row r="160" spans="1:5" x14ac:dyDescent="0.25">
      <c r="A160" s="584" t="s">
        <v>1085</v>
      </c>
      <c r="B160" s="5" t="s">
        <v>430</v>
      </c>
      <c r="C160" s="585">
        <v>619217873610</v>
      </c>
      <c r="D160" s="19">
        <v>2.0830000000000002</v>
      </c>
      <c r="E160" s="310" t="s">
        <v>420</v>
      </c>
    </row>
    <row r="161" spans="1:5" x14ac:dyDescent="0.25">
      <c r="A161" s="584" t="s">
        <v>1085</v>
      </c>
      <c r="B161" s="5" t="s">
        <v>430</v>
      </c>
      <c r="C161" s="585">
        <v>619217873586</v>
      </c>
      <c r="D161" s="19">
        <v>2.0329999999999999</v>
      </c>
      <c r="E161" s="310" t="s">
        <v>420</v>
      </c>
    </row>
    <row r="162" spans="1:5" x14ac:dyDescent="0.25">
      <c r="A162" s="584" t="s">
        <v>1085</v>
      </c>
      <c r="B162" s="5" t="s">
        <v>430</v>
      </c>
      <c r="C162" s="585">
        <v>619217373595</v>
      </c>
      <c r="D162" s="19">
        <v>1.9330000000000001</v>
      </c>
      <c r="E162" s="310" t="s">
        <v>420</v>
      </c>
    </row>
    <row r="163" spans="1:5" x14ac:dyDescent="0.25">
      <c r="A163" s="584" t="s">
        <v>1085</v>
      </c>
      <c r="B163" s="5" t="s">
        <v>430</v>
      </c>
      <c r="C163" s="585">
        <v>619217873619</v>
      </c>
      <c r="D163" s="19">
        <v>1.9</v>
      </c>
      <c r="E163" s="310" t="s">
        <v>420</v>
      </c>
    </row>
    <row r="164" spans="1:5" x14ac:dyDescent="0.25">
      <c r="A164" s="584" t="s">
        <v>1085</v>
      </c>
      <c r="B164" s="5" t="s">
        <v>430</v>
      </c>
      <c r="C164" s="585">
        <v>619217643558</v>
      </c>
      <c r="D164" s="19">
        <v>1.9</v>
      </c>
      <c r="E164" s="310" t="s">
        <v>420</v>
      </c>
    </row>
    <row r="165" spans="1:5" x14ac:dyDescent="0.25">
      <c r="A165" s="584" t="s">
        <v>1085</v>
      </c>
      <c r="B165" s="5" t="s">
        <v>430</v>
      </c>
      <c r="C165" s="585">
        <v>619217873611</v>
      </c>
      <c r="D165" s="19">
        <v>1.6830000000000001</v>
      </c>
      <c r="E165" s="310" t="s">
        <v>420</v>
      </c>
    </row>
    <row r="166" spans="1:5" x14ac:dyDescent="0.25">
      <c r="A166" s="584" t="s">
        <v>1085</v>
      </c>
      <c r="B166" s="5" t="s">
        <v>430</v>
      </c>
      <c r="C166" s="585">
        <v>619217873584</v>
      </c>
      <c r="D166" s="19">
        <v>1.633</v>
      </c>
      <c r="E166" s="310" t="s">
        <v>420</v>
      </c>
    </row>
    <row r="167" spans="1:5" x14ac:dyDescent="0.25">
      <c r="A167" s="584" t="s">
        <v>1085</v>
      </c>
      <c r="B167" s="5" t="s">
        <v>430</v>
      </c>
      <c r="C167" s="585">
        <v>619217873616</v>
      </c>
      <c r="D167" s="19">
        <v>1.617</v>
      </c>
      <c r="E167" s="310" t="s">
        <v>420</v>
      </c>
    </row>
    <row r="168" spans="1:5" x14ac:dyDescent="0.25">
      <c r="A168" s="584" t="s">
        <v>1085</v>
      </c>
      <c r="B168" s="5" t="s">
        <v>430</v>
      </c>
      <c r="C168" s="585">
        <v>619217873557</v>
      </c>
      <c r="D168" s="19">
        <v>1.583</v>
      </c>
      <c r="E168" s="310" t="s">
        <v>420</v>
      </c>
    </row>
    <row r="169" spans="1:5" x14ac:dyDescent="0.25">
      <c r="A169" s="584" t="s">
        <v>1085</v>
      </c>
      <c r="B169" s="5" t="s">
        <v>430</v>
      </c>
      <c r="C169" s="585">
        <v>619217873609</v>
      </c>
      <c r="D169" s="19">
        <v>1.5329999999999999</v>
      </c>
      <c r="E169" s="310" t="s">
        <v>420</v>
      </c>
    </row>
    <row r="170" spans="1:5" x14ac:dyDescent="0.25">
      <c r="A170" s="584" t="s">
        <v>1085</v>
      </c>
      <c r="B170" s="5" t="s">
        <v>430</v>
      </c>
      <c r="C170" s="585">
        <v>619217873618</v>
      </c>
      <c r="D170" s="19">
        <v>1.45</v>
      </c>
      <c r="E170" s="310" t="s">
        <v>420</v>
      </c>
    </row>
    <row r="171" spans="1:5" ht="15.75" thickBot="1" x14ac:dyDescent="0.3">
      <c r="A171" s="590" t="s">
        <v>1085</v>
      </c>
      <c r="B171" s="44" t="s">
        <v>430</v>
      </c>
      <c r="C171" s="596">
        <v>619217873593</v>
      </c>
      <c r="D171" s="125">
        <v>1.383</v>
      </c>
      <c r="E171" s="597" t="s">
        <v>420</v>
      </c>
    </row>
    <row r="172" spans="1:5" x14ac:dyDescent="0.25">
      <c r="A172" s="586" t="s">
        <v>1083</v>
      </c>
      <c r="B172" s="396" t="s">
        <v>431</v>
      </c>
      <c r="C172" s="587">
        <v>619217643605</v>
      </c>
      <c r="D172" s="588">
        <v>1.9830000000000001</v>
      </c>
      <c r="E172" s="306" t="s">
        <v>419</v>
      </c>
    </row>
    <row r="173" spans="1:5" ht="15.75" x14ac:dyDescent="0.25">
      <c r="A173" s="616" t="s">
        <v>1131</v>
      </c>
      <c r="B173" s="617" t="s">
        <v>429</v>
      </c>
      <c r="C173" s="11">
        <v>19201800694</v>
      </c>
      <c r="D173" s="2">
        <v>2.48</v>
      </c>
      <c r="E173" s="306" t="s">
        <v>419</v>
      </c>
    </row>
    <row r="174" spans="1:5" ht="15.75" x14ac:dyDescent="0.25">
      <c r="A174" s="616" t="s">
        <v>1131</v>
      </c>
      <c r="B174" s="617" t="s">
        <v>429</v>
      </c>
      <c r="C174" s="11">
        <v>19201800710</v>
      </c>
      <c r="D174" s="2">
        <v>2.35</v>
      </c>
      <c r="E174" s="306" t="s">
        <v>419</v>
      </c>
    </row>
    <row r="175" spans="1:5" ht="15.75" x14ac:dyDescent="0.25">
      <c r="A175" s="616" t="s">
        <v>1131</v>
      </c>
      <c r="B175" s="617" t="s">
        <v>429</v>
      </c>
      <c r="C175" s="11">
        <v>19201800712</v>
      </c>
      <c r="D175" s="2">
        <v>2.2999999999999998</v>
      </c>
      <c r="E175" s="306" t="s">
        <v>419</v>
      </c>
    </row>
    <row r="176" spans="1:5" ht="15.75" x14ac:dyDescent="0.25">
      <c r="A176" s="616" t="s">
        <v>1131</v>
      </c>
      <c r="B176" s="617" t="s">
        <v>429</v>
      </c>
      <c r="C176" s="11">
        <v>19201800705</v>
      </c>
      <c r="D176" s="2">
        <v>2.29</v>
      </c>
      <c r="E176" s="306" t="s">
        <v>419</v>
      </c>
    </row>
    <row r="177" spans="1:5" ht="15.75" x14ac:dyDescent="0.25">
      <c r="A177" s="616" t="s">
        <v>1131</v>
      </c>
      <c r="B177" s="617" t="s">
        <v>429</v>
      </c>
      <c r="C177" s="11">
        <v>19201800689</v>
      </c>
      <c r="D177" s="2">
        <v>2.2599999999999998</v>
      </c>
      <c r="E177" s="306" t="s">
        <v>419</v>
      </c>
    </row>
    <row r="178" spans="1:5" ht="15.75" x14ac:dyDescent="0.25">
      <c r="A178" s="616" t="s">
        <v>1131</v>
      </c>
      <c r="B178" s="617" t="s">
        <v>429</v>
      </c>
      <c r="C178" s="11">
        <v>19201800676</v>
      </c>
      <c r="D178" s="2">
        <v>2.04</v>
      </c>
      <c r="E178" s="306" t="s">
        <v>419</v>
      </c>
    </row>
    <row r="179" spans="1:5" ht="15.75" x14ac:dyDescent="0.25">
      <c r="A179" s="616" t="s">
        <v>1131</v>
      </c>
      <c r="B179" s="617" t="s">
        <v>429</v>
      </c>
      <c r="C179" s="11">
        <v>19201800683</v>
      </c>
      <c r="D179" s="2">
        <v>2.02</v>
      </c>
      <c r="E179" s="306" t="s">
        <v>419</v>
      </c>
    </row>
    <row r="180" spans="1:5" ht="15.75" x14ac:dyDescent="0.25">
      <c r="A180" s="616" t="s">
        <v>1131</v>
      </c>
      <c r="B180" s="617" t="s">
        <v>429</v>
      </c>
      <c r="C180" s="11">
        <v>19201800675</v>
      </c>
      <c r="D180" s="2">
        <v>1.84</v>
      </c>
      <c r="E180" s="306" t="s">
        <v>419</v>
      </c>
    </row>
    <row r="181" spans="1:5" ht="15.75" x14ac:dyDescent="0.25">
      <c r="A181" s="616" t="s">
        <v>1131</v>
      </c>
      <c r="B181" s="617" t="s">
        <v>429</v>
      </c>
      <c r="C181" s="618">
        <v>19201800687</v>
      </c>
      <c r="D181" s="2">
        <v>1.77</v>
      </c>
      <c r="E181" s="226" t="s">
        <v>420</v>
      </c>
    </row>
    <row r="182" spans="1:5" ht="15.75" x14ac:dyDescent="0.25">
      <c r="A182" s="616" t="s">
        <v>1131</v>
      </c>
      <c r="B182" s="617" t="s">
        <v>429</v>
      </c>
      <c r="C182" s="618">
        <v>19201800695</v>
      </c>
      <c r="D182" s="2">
        <v>1.75</v>
      </c>
      <c r="E182" s="226" t="s">
        <v>420</v>
      </c>
    </row>
    <row r="183" spans="1:5" ht="15.75" x14ac:dyDescent="0.25">
      <c r="A183" s="616" t="s">
        <v>1131</v>
      </c>
      <c r="B183" s="617" t="s">
        <v>429</v>
      </c>
      <c r="C183" s="618">
        <v>19201800699</v>
      </c>
      <c r="D183" s="2">
        <v>1.55</v>
      </c>
      <c r="E183" s="226" t="s">
        <v>420</v>
      </c>
    </row>
    <row r="184" spans="1:5" ht="15.75" x14ac:dyDescent="0.25">
      <c r="A184" s="616" t="s">
        <v>1131</v>
      </c>
      <c r="B184" s="617" t="s">
        <v>429</v>
      </c>
      <c r="C184" s="618">
        <v>19201800707</v>
      </c>
      <c r="D184" s="2">
        <v>1.54</v>
      </c>
      <c r="E184" s="226" t="s">
        <v>420</v>
      </c>
    </row>
    <row r="185" spans="1:5" ht="15.75" x14ac:dyDescent="0.25">
      <c r="A185" s="616" t="s">
        <v>1131</v>
      </c>
      <c r="B185" s="600" t="s">
        <v>430</v>
      </c>
      <c r="C185" s="618">
        <v>19201800686</v>
      </c>
      <c r="D185" s="2">
        <v>2.52</v>
      </c>
      <c r="E185" s="306" t="s">
        <v>419</v>
      </c>
    </row>
    <row r="186" spans="1:5" ht="15.75" x14ac:dyDescent="0.25">
      <c r="A186" s="616" t="s">
        <v>1131</v>
      </c>
      <c r="B186" s="600" t="s">
        <v>430</v>
      </c>
      <c r="C186" s="11">
        <v>19201800703</v>
      </c>
      <c r="D186" s="2">
        <v>2.4900000000000002</v>
      </c>
      <c r="E186" s="306" t="s">
        <v>419</v>
      </c>
    </row>
    <row r="187" spans="1:5" ht="15.75" x14ac:dyDescent="0.25">
      <c r="A187" s="616" t="s">
        <v>1131</v>
      </c>
      <c r="B187" s="600" t="s">
        <v>430</v>
      </c>
      <c r="C187" s="11">
        <v>19201800708</v>
      </c>
      <c r="D187" s="2">
        <v>2.35</v>
      </c>
      <c r="E187" s="306" t="s">
        <v>419</v>
      </c>
    </row>
    <row r="188" spans="1:5" ht="15.75" x14ac:dyDescent="0.25">
      <c r="A188" s="616" t="s">
        <v>1131</v>
      </c>
      <c r="B188" s="600" t="s">
        <v>430</v>
      </c>
      <c r="C188" s="11">
        <v>19201800698</v>
      </c>
      <c r="D188" s="2">
        <v>2.2799999999999998</v>
      </c>
      <c r="E188" s="306" t="s">
        <v>419</v>
      </c>
    </row>
    <row r="189" spans="1:5" ht="15.75" x14ac:dyDescent="0.25">
      <c r="A189" s="616" t="s">
        <v>1131</v>
      </c>
      <c r="B189" s="600" t="s">
        <v>430</v>
      </c>
      <c r="C189" s="11">
        <v>19201800678</v>
      </c>
      <c r="D189" s="2">
        <v>2.13</v>
      </c>
      <c r="E189" s="306" t="s">
        <v>419</v>
      </c>
    </row>
    <row r="190" spans="1:5" ht="15.75" x14ac:dyDescent="0.25">
      <c r="A190" s="616" t="s">
        <v>1131</v>
      </c>
      <c r="B190" s="600" t="s">
        <v>430</v>
      </c>
      <c r="C190" s="11">
        <v>19201800684</v>
      </c>
      <c r="D190" s="2">
        <v>2.12</v>
      </c>
      <c r="E190" s="306" t="s">
        <v>419</v>
      </c>
    </row>
    <row r="191" spans="1:5" ht="15.75" x14ac:dyDescent="0.25">
      <c r="A191" s="616" t="s">
        <v>1131</v>
      </c>
      <c r="B191" s="600" t="s">
        <v>430</v>
      </c>
      <c r="C191" s="11">
        <v>19201800706</v>
      </c>
      <c r="D191" s="2">
        <v>2.12</v>
      </c>
      <c r="E191" s="306" t="s">
        <v>419</v>
      </c>
    </row>
    <row r="192" spans="1:5" ht="15.75" x14ac:dyDescent="0.25">
      <c r="A192" s="616" t="s">
        <v>1131</v>
      </c>
      <c r="B192" s="600" t="s">
        <v>430</v>
      </c>
      <c r="C192" s="11">
        <v>19201800714</v>
      </c>
      <c r="D192" s="2">
        <v>2.08</v>
      </c>
      <c r="E192" s="306" t="s">
        <v>419</v>
      </c>
    </row>
    <row r="193" spans="1:5" ht="15.75" x14ac:dyDescent="0.25">
      <c r="A193" s="616" t="s">
        <v>1131</v>
      </c>
      <c r="B193" s="600" t="s">
        <v>430</v>
      </c>
      <c r="C193" s="11">
        <v>19201800685</v>
      </c>
      <c r="D193" s="2">
        <v>2.0499999999999998</v>
      </c>
      <c r="E193" s="306" t="s">
        <v>419</v>
      </c>
    </row>
    <row r="194" spans="1:5" ht="15.75" x14ac:dyDescent="0.25">
      <c r="A194" s="616" t="s">
        <v>1131</v>
      </c>
      <c r="B194" s="600" t="s">
        <v>430</v>
      </c>
      <c r="C194" s="11">
        <v>19201800704</v>
      </c>
      <c r="D194" s="2">
        <v>2.0499999999999998</v>
      </c>
      <c r="E194" s="306" t="s">
        <v>419</v>
      </c>
    </row>
    <row r="195" spans="1:5" ht="15.75" x14ac:dyDescent="0.25">
      <c r="A195" s="616" t="s">
        <v>1131</v>
      </c>
      <c r="B195" s="600" t="s">
        <v>430</v>
      </c>
      <c r="C195" s="11">
        <v>19201800690</v>
      </c>
      <c r="D195" s="2">
        <v>2</v>
      </c>
      <c r="E195" s="306" t="s">
        <v>419</v>
      </c>
    </row>
    <row r="196" spans="1:5" ht="15.75" x14ac:dyDescent="0.25">
      <c r="A196" s="616" t="s">
        <v>1131</v>
      </c>
      <c r="B196" s="600" t="s">
        <v>430</v>
      </c>
      <c r="C196" s="11">
        <v>19201800697</v>
      </c>
      <c r="D196" s="2">
        <v>1.98</v>
      </c>
      <c r="E196" s="306" t="s">
        <v>419</v>
      </c>
    </row>
    <row r="197" spans="1:5" ht="15.75" x14ac:dyDescent="0.25">
      <c r="A197" s="616" t="s">
        <v>1131</v>
      </c>
      <c r="B197" s="600" t="s">
        <v>430</v>
      </c>
      <c r="C197" s="11">
        <v>19201800682</v>
      </c>
      <c r="D197" s="2">
        <v>1.84</v>
      </c>
      <c r="E197" s="306" t="s">
        <v>419</v>
      </c>
    </row>
    <row r="198" spans="1:5" ht="15.75" x14ac:dyDescent="0.25">
      <c r="A198" s="616" t="s">
        <v>1131</v>
      </c>
      <c r="B198" s="600" t="s">
        <v>430</v>
      </c>
      <c r="C198" s="11">
        <v>19201800680</v>
      </c>
      <c r="D198" s="2">
        <v>1.82</v>
      </c>
      <c r="E198" s="306" t="s">
        <v>419</v>
      </c>
    </row>
    <row r="199" spans="1:5" ht="15.75" x14ac:dyDescent="0.25">
      <c r="A199" s="616" t="s">
        <v>1131</v>
      </c>
      <c r="B199" s="600" t="s">
        <v>430</v>
      </c>
      <c r="C199" s="11">
        <v>19201800681</v>
      </c>
      <c r="D199" s="2">
        <v>1.82</v>
      </c>
      <c r="E199" s="306" t="s">
        <v>419</v>
      </c>
    </row>
    <row r="200" spans="1:5" ht="15.75" x14ac:dyDescent="0.25">
      <c r="A200" s="616" t="s">
        <v>1131</v>
      </c>
      <c r="B200" s="600" t="s">
        <v>430</v>
      </c>
      <c r="C200" s="11">
        <v>19201800711</v>
      </c>
      <c r="D200" s="2">
        <v>1.78</v>
      </c>
      <c r="E200" s="226" t="s">
        <v>420</v>
      </c>
    </row>
    <row r="201" spans="1:5" ht="15.75" x14ac:dyDescent="0.25">
      <c r="A201" s="616" t="s">
        <v>1131</v>
      </c>
      <c r="B201" s="600" t="s">
        <v>430</v>
      </c>
      <c r="C201" s="11">
        <v>19201800717</v>
      </c>
      <c r="D201" s="2">
        <v>1.74</v>
      </c>
      <c r="E201" s="226" t="s">
        <v>420</v>
      </c>
    </row>
    <row r="202" spans="1:5" ht="15.75" x14ac:dyDescent="0.25">
      <c r="A202" s="616" t="s">
        <v>1131</v>
      </c>
      <c r="B202" s="600" t="s">
        <v>430</v>
      </c>
      <c r="C202" s="11">
        <v>19201800701</v>
      </c>
      <c r="D202" s="2">
        <v>1.7</v>
      </c>
      <c r="E202" s="226" t="s">
        <v>420</v>
      </c>
    </row>
    <row r="203" spans="1:5" ht="15.75" x14ac:dyDescent="0.25">
      <c r="A203" s="616" t="s">
        <v>1131</v>
      </c>
      <c r="B203" s="600" t="s">
        <v>430</v>
      </c>
      <c r="C203" s="11">
        <v>19201800702</v>
      </c>
      <c r="D203" s="2">
        <v>1.7</v>
      </c>
      <c r="E203" s="226" t="s">
        <v>420</v>
      </c>
    </row>
    <row r="204" spans="1:5" ht="15.75" x14ac:dyDescent="0.25">
      <c r="A204" s="616" t="s">
        <v>1131</v>
      </c>
      <c r="B204" s="600" t="s">
        <v>430</v>
      </c>
      <c r="C204" s="11">
        <v>19201800693</v>
      </c>
      <c r="D204" s="2">
        <v>1.68</v>
      </c>
      <c r="E204" s="226" t="s">
        <v>420</v>
      </c>
    </row>
    <row r="205" spans="1:5" ht="15.75" x14ac:dyDescent="0.25">
      <c r="A205" s="616" t="s">
        <v>1131</v>
      </c>
      <c r="B205" s="600" t="s">
        <v>430</v>
      </c>
      <c r="C205" s="11">
        <v>19201800713</v>
      </c>
      <c r="D205" s="2">
        <v>1.67</v>
      </c>
      <c r="E205" s="226" t="s">
        <v>420</v>
      </c>
    </row>
    <row r="206" spans="1:5" ht="15.75" x14ac:dyDescent="0.25">
      <c r="A206" s="616" t="s">
        <v>1131</v>
      </c>
      <c r="B206" s="600" t="s">
        <v>430</v>
      </c>
      <c r="C206" s="11">
        <v>19201800691</v>
      </c>
      <c r="D206" s="2">
        <v>1.66</v>
      </c>
      <c r="E206" s="226" t="s">
        <v>420</v>
      </c>
    </row>
    <row r="207" spans="1:5" ht="15.75" x14ac:dyDescent="0.25">
      <c r="A207" s="616" t="s">
        <v>1131</v>
      </c>
      <c r="B207" s="600" t="s">
        <v>430</v>
      </c>
      <c r="C207" s="11">
        <v>19201800709</v>
      </c>
      <c r="D207" s="2">
        <v>1.61</v>
      </c>
      <c r="E207" s="226" t="s">
        <v>420</v>
      </c>
    </row>
    <row r="208" spans="1:5" ht="15.75" x14ac:dyDescent="0.25">
      <c r="A208" s="616" t="s">
        <v>1131</v>
      </c>
      <c r="B208" s="600" t="s">
        <v>430</v>
      </c>
      <c r="C208" s="20">
        <v>19201800716</v>
      </c>
      <c r="D208" s="2">
        <v>1.6</v>
      </c>
      <c r="E208" s="226" t="s">
        <v>420</v>
      </c>
    </row>
    <row r="209" spans="1:5" ht="15.75" x14ac:dyDescent="0.25">
      <c r="A209" s="616" t="s">
        <v>1131</v>
      </c>
      <c r="B209" s="309" t="s">
        <v>431</v>
      </c>
      <c r="C209" s="11">
        <v>19201800677</v>
      </c>
      <c r="D209" s="2">
        <v>2.35</v>
      </c>
      <c r="E209" s="306" t="s">
        <v>419</v>
      </c>
    </row>
    <row r="210" spans="1:5" ht="15.75" x14ac:dyDescent="0.25">
      <c r="A210" s="616" t="s">
        <v>1131</v>
      </c>
      <c r="B210" s="309" t="s">
        <v>431</v>
      </c>
      <c r="C210" s="11">
        <v>19201800700</v>
      </c>
      <c r="D210" s="2">
        <v>2.25</v>
      </c>
      <c r="E210" s="306" t="s">
        <v>419</v>
      </c>
    </row>
    <row r="211" spans="1:5" ht="15.75" x14ac:dyDescent="0.25">
      <c r="A211" s="614" t="s">
        <v>1131</v>
      </c>
      <c r="B211" s="727" t="s">
        <v>431</v>
      </c>
      <c r="C211" s="615">
        <v>19201800696</v>
      </c>
      <c r="D211" s="179">
        <v>1.65</v>
      </c>
      <c r="E211" s="383" t="s">
        <v>420</v>
      </c>
    </row>
    <row r="212" spans="1:5" x14ac:dyDescent="0.25">
      <c r="A212" s="2" t="s">
        <v>1169</v>
      </c>
      <c r="B212" s="2" t="s">
        <v>429</v>
      </c>
      <c r="C212" s="2">
        <v>19201801224</v>
      </c>
      <c r="D212" s="2">
        <v>2.67</v>
      </c>
      <c r="E212" s="306" t="s">
        <v>419</v>
      </c>
    </row>
    <row r="213" spans="1:5" x14ac:dyDescent="0.25">
      <c r="A213" s="2" t="s">
        <v>1169</v>
      </c>
      <c r="B213" s="2" t="s">
        <v>429</v>
      </c>
      <c r="C213" s="2">
        <v>19201801226</v>
      </c>
      <c r="D213" s="2">
        <v>2.5</v>
      </c>
      <c r="E213" s="306" t="s">
        <v>419</v>
      </c>
    </row>
    <row r="214" spans="1:5" x14ac:dyDescent="0.25">
      <c r="A214" s="2" t="s">
        <v>1169</v>
      </c>
      <c r="B214" s="2" t="s">
        <v>429</v>
      </c>
      <c r="C214" s="2">
        <v>19201801212</v>
      </c>
      <c r="D214" s="2">
        <v>2.42</v>
      </c>
      <c r="E214" s="306" t="s">
        <v>419</v>
      </c>
    </row>
    <row r="215" spans="1:5" x14ac:dyDescent="0.25">
      <c r="A215" s="2" t="s">
        <v>1169</v>
      </c>
      <c r="B215" s="2" t="s">
        <v>429</v>
      </c>
      <c r="C215" s="2">
        <v>19201801217</v>
      </c>
      <c r="D215" s="2">
        <v>2.39</v>
      </c>
      <c r="E215" s="306" t="s">
        <v>419</v>
      </c>
    </row>
    <row r="216" spans="1:5" x14ac:dyDescent="0.25">
      <c r="A216" s="2" t="s">
        <v>1169</v>
      </c>
      <c r="B216" s="2" t="s">
        <v>429</v>
      </c>
      <c r="C216" s="2">
        <v>19201801223</v>
      </c>
      <c r="D216" s="2">
        <v>2.2999999999999998</v>
      </c>
      <c r="E216" s="306" t="s">
        <v>419</v>
      </c>
    </row>
    <row r="217" spans="1:5" x14ac:dyDescent="0.25">
      <c r="A217" s="2" t="s">
        <v>1169</v>
      </c>
      <c r="B217" s="2" t="s">
        <v>429</v>
      </c>
      <c r="C217" s="2">
        <v>19201801214</v>
      </c>
      <c r="D217" s="2">
        <v>2.15</v>
      </c>
      <c r="E217" s="306" t="s">
        <v>419</v>
      </c>
    </row>
    <row r="218" spans="1:5" x14ac:dyDescent="0.25">
      <c r="A218" s="2" t="s">
        <v>1169</v>
      </c>
      <c r="B218" s="2" t="s">
        <v>429</v>
      </c>
      <c r="C218" s="2">
        <v>19201801227</v>
      </c>
      <c r="D218" s="2">
        <v>2.09</v>
      </c>
      <c r="E218" s="306" t="s">
        <v>419</v>
      </c>
    </row>
    <row r="219" spans="1:5" x14ac:dyDescent="0.25">
      <c r="A219" s="2" t="s">
        <v>1169</v>
      </c>
      <c r="B219" s="2" t="s">
        <v>429</v>
      </c>
      <c r="C219" s="2">
        <v>19201801220</v>
      </c>
      <c r="D219" s="2">
        <v>1.84</v>
      </c>
      <c r="E219" s="306" t="s">
        <v>419</v>
      </c>
    </row>
    <row r="220" spans="1:5" x14ac:dyDescent="0.25">
      <c r="A220" s="2" t="s">
        <v>1169</v>
      </c>
      <c r="B220" s="2" t="s">
        <v>429</v>
      </c>
      <c r="C220" s="2">
        <v>19201801221</v>
      </c>
      <c r="D220" s="2">
        <v>1.84</v>
      </c>
      <c r="E220" s="306" t="s">
        <v>419</v>
      </c>
    </row>
    <row r="221" spans="1:5" x14ac:dyDescent="0.25">
      <c r="A221" s="2" t="s">
        <v>1169</v>
      </c>
      <c r="B221" s="2" t="s">
        <v>429</v>
      </c>
      <c r="C221" s="2">
        <v>19201801232</v>
      </c>
      <c r="D221" s="2">
        <v>1.82</v>
      </c>
      <c r="E221" s="306" t="s">
        <v>419</v>
      </c>
    </row>
    <row r="222" spans="1:5" x14ac:dyDescent="0.25">
      <c r="A222" s="2" t="s">
        <v>1169</v>
      </c>
      <c r="B222" s="2" t="s">
        <v>429</v>
      </c>
      <c r="C222" s="2">
        <v>19201801219</v>
      </c>
      <c r="D222" s="2">
        <v>1.77</v>
      </c>
      <c r="E222" s="226" t="s">
        <v>420</v>
      </c>
    </row>
    <row r="223" spans="1:5" x14ac:dyDescent="0.25">
      <c r="A223" s="2" t="s">
        <v>1169</v>
      </c>
      <c r="B223" s="2" t="s">
        <v>429</v>
      </c>
      <c r="C223" s="2">
        <v>19201801231</v>
      </c>
      <c r="D223" s="2">
        <v>1.72</v>
      </c>
      <c r="E223" s="226" t="s">
        <v>420</v>
      </c>
    </row>
    <row r="224" spans="1:5" x14ac:dyDescent="0.25">
      <c r="A224" s="2" t="s">
        <v>1169</v>
      </c>
      <c r="B224" s="2" t="s">
        <v>429</v>
      </c>
      <c r="C224" s="2">
        <v>19201801215</v>
      </c>
      <c r="D224" s="2">
        <v>1.69</v>
      </c>
      <c r="E224" s="226" t="s">
        <v>420</v>
      </c>
    </row>
    <row r="225" spans="1:5" x14ac:dyDescent="0.25">
      <c r="A225" s="2" t="s">
        <v>1169</v>
      </c>
      <c r="B225" s="2" t="s">
        <v>429</v>
      </c>
      <c r="C225" s="2">
        <v>19201801228</v>
      </c>
      <c r="D225" s="2">
        <v>1.67</v>
      </c>
      <c r="E225" s="226" t="s">
        <v>420</v>
      </c>
    </row>
    <row r="226" spans="1:5" x14ac:dyDescent="0.25">
      <c r="A226" s="2" t="s">
        <v>1169</v>
      </c>
      <c r="B226" s="2" t="s">
        <v>429</v>
      </c>
      <c r="C226" s="2">
        <v>19201801216</v>
      </c>
      <c r="D226" s="2">
        <v>1.59</v>
      </c>
      <c r="E226" s="226" t="s">
        <v>420</v>
      </c>
    </row>
    <row r="227" spans="1:5" x14ac:dyDescent="0.25">
      <c r="A227" s="2" t="s">
        <v>1169</v>
      </c>
      <c r="B227" s="2" t="s">
        <v>429</v>
      </c>
      <c r="C227" s="2">
        <v>19201801222</v>
      </c>
      <c r="D227" s="2">
        <v>1.55</v>
      </c>
      <c r="E227" s="226" t="s">
        <v>420</v>
      </c>
    </row>
    <row r="228" spans="1:5" x14ac:dyDescent="0.25">
      <c r="A228" s="2" t="s">
        <v>1169</v>
      </c>
      <c r="B228" s="2" t="s">
        <v>429</v>
      </c>
      <c r="C228" s="2">
        <v>19201801229</v>
      </c>
      <c r="D228" s="2">
        <v>1.47</v>
      </c>
      <c r="E228" s="226" t="s">
        <v>420</v>
      </c>
    </row>
    <row r="229" spans="1:5" x14ac:dyDescent="0.25">
      <c r="A229" s="2" t="s">
        <v>1169</v>
      </c>
      <c r="B229" s="2" t="s">
        <v>429</v>
      </c>
      <c r="C229" s="2">
        <v>19201801230</v>
      </c>
      <c r="D229" s="2">
        <v>1.35</v>
      </c>
      <c r="E229" s="226" t="s">
        <v>420</v>
      </c>
    </row>
    <row r="230" spans="1:5" x14ac:dyDescent="0.25">
      <c r="A230" s="2" t="s">
        <v>1169</v>
      </c>
      <c r="B230" s="2" t="s">
        <v>429</v>
      </c>
      <c r="C230" s="2">
        <v>19201801211</v>
      </c>
      <c r="D230" s="2">
        <v>1.24</v>
      </c>
      <c r="E230" s="226" t="s">
        <v>420</v>
      </c>
    </row>
    <row r="231" spans="1:5" x14ac:dyDescent="0.25">
      <c r="A231" s="2" t="s">
        <v>1169</v>
      </c>
      <c r="B231" s="26" t="s">
        <v>431</v>
      </c>
      <c r="C231" s="2">
        <v>19201801225</v>
      </c>
      <c r="D231" s="2">
        <v>2.64</v>
      </c>
      <c r="E231" s="306" t="s">
        <v>419</v>
      </c>
    </row>
    <row r="232" spans="1:5" x14ac:dyDescent="0.25">
      <c r="A232" s="2" t="s">
        <v>1169</v>
      </c>
      <c r="B232" s="26" t="s">
        <v>431</v>
      </c>
      <c r="C232" s="2">
        <v>19201801218</v>
      </c>
      <c r="D232" s="2">
        <v>1.94</v>
      </c>
      <c r="E232" s="306" t="s">
        <v>419</v>
      </c>
    </row>
    <row r="233" spans="1:5" x14ac:dyDescent="0.25">
      <c r="A233" s="2" t="s">
        <v>1169</v>
      </c>
      <c r="B233" s="26" t="s">
        <v>431</v>
      </c>
      <c r="C233" s="2">
        <v>19201801233</v>
      </c>
      <c r="D233" s="2">
        <v>1.59</v>
      </c>
      <c r="E233" s="226" t="s">
        <v>420</v>
      </c>
    </row>
    <row r="234" spans="1:5" x14ac:dyDescent="0.25">
      <c r="A234" s="26" t="s">
        <v>1214</v>
      </c>
      <c r="B234" s="2" t="s">
        <v>429</v>
      </c>
      <c r="C234" s="2">
        <v>19201900837</v>
      </c>
      <c r="D234" s="2">
        <v>2.52</v>
      </c>
      <c r="E234" s="306" t="s">
        <v>419</v>
      </c>
    </row>
    <row r="235" spans="1:5" x14ac:dyDescent="0.25">
      <c r="A235" s="26" t="s">
        <v>1214</v>
      </c>
      <c r="B235" s="2" t="s">
        <v>429</v>
      </c>
      <c r="C235" s="2">
        <v>19201900848</v>
      </c>
      <c r="D235" s="2">
        <v>2.4700000000000002</v>
      </c>
      <c r="E235" s="306" t="s">
        <v>419</v>
      </c>
    </row>
    <row r="236" spans="1:5" x14ac:dyDescent="0.25">
      <c r="A236" s="26" t="s">
        <v>1214</v>
      </c>
      <c r="B236" s="2" t="s">
        <v>429</v>
      </c>
      <c r="C236" s="2">
        <v>19201900821</v>
      </c>
      <c r="D236" s="2">
        <v>2.44</v>
      </c>
      <c r="E236" s="306" t="s">
        <v>419</v>
      </c>
    </row>
    <row r="237" spans="1:5" x14ac:dyDescent="0.25">
      <c r="A237" s="26" t="s">
        <v>1214</v>
      </c>
      <c r="B237" s="2" t="s">
        <v>429</v>
      </c>
      <c r="C237" s="2">
        <v>19201900849</v>
      </c>
      <c r="D237" s="2">
        <v>2.42</v>
      </c>
      <c r="E237" s="306" t="s">
        <v>419</v>
      </c>
    </row>
    <row r="238" spans="1:5" x14ac:dyDescent="0.25">
      <c r="A238" s="26" t="s">
        <v>1214</v>
      </c>
      <c r="B238" s="2" t="s">
        <v>429</v>
      </c>
      <c r="C238" s="2">
        <v>19201900860</v>
      </c>
      <c r="D238" s="2">
        <v>2.4</v>
      </c>
      <c r="E238" s="306" t="s">
        <v>419</v>
      </c>
    </row>
    <row r="239" spans="1:5" x14ac:dyDescent="0.25">
      <c r="A239" s="26" t="s">
        <v>1214</v>
      </c>
      <c r="B239" s="2" t="s">
        <v>429</v>
      </c>
      <c r="C239" s="2">
        <v>19201900854</v>
      </c>
      <c r="D239" s="2">
        <v>2.29</v>
      </c>
      <c r="E239" s="306" t="s">
        <v>419</v>
      </c>
    </row>
    <row r="240" spans="1:5" x14ac:dyDescent="0.25">
      <c r="A240" s="26" t="s">
        <v>1214</v>
      </c>
      <c r="B240" s="2" t="s">
        <v>429</v>
      </c>
      <c r="C240" s="2">
        <v>19201900864</v>
      </c>
      <c r="D240" s="2">
        <v>2.2400000000000002</v>
      </c>
      <c r="E240" s="306" t="s">
        <v>419</v>
      </c>
    </row>
    <row r="241" spans="1:5" x14ac:dyDescent="0.25">
      <c r="A241" s="26" t="s">
        <v>1214</v>
      </c>
      <c r="B241" s="2" t="s">
        <v>429</v>
      </c>
      <c r="C241" s="2">
        <v>19201900861</v>
      </c>
      <c r="D241" s="2">
        <v>2.19</v>
      </c>
      <c r="E241" s="306" t="s">
        <v>419</v>
      </c>
    </row>
    <row r="242" spans="1:5" x14ac:dyDescent="0.25">
      <c r="A242" s="26" t="s">
        <v>1214</v>
      </c>
      <c r="B242" s="2" t="s">
        <v>429</v>
      </c>
      <c r="C242" s="2">
        <v>19201900805</v>
      </c>
      <c r="D242" s="2">
        <v>2.12</v>
      </c>
      <c r="E242" s="306" t="s">
        <v>419</v>
      </c>
    </row>
    <row r="243" spans="1:5" x14ac:dyDescent="0.25">
      <c r="A243" s="26" t="s">
        <v>1214</v>
      </c>
      <c r="B243" s="2" t="s">
        <v>429</v>
      </c>
      <c r="C243" s="2">
        <v>19201900831</v>
      </c>
      <c r="D243" s="2">
        <v>2.0699999999999998</v>
      </c>
      <c r="E243" s="306" t="s">
        <v>419</v>
      </c>
    </row>
    <row r="244" spans="1:5" x14ac:dyDescent="0.25">
      <c r="A244" s="26" t="s">
        <v>1214</v>
      </c>
      <c r="B244" s="2" t="s">
        <v>429</v>
      </c>
      <c r="C244" s="2">
        <v>19201900845</v>
      </c>
      <c r="D244" s="2">
        <v>1.94</v>
      </c>
      <c r="E244" s="306" t="s">
        <v>419</v>
      </c>
    </row>
    <row r="245" spans="1:5" x14ac:dyDescent="0.25">
      <c r="A245" s="26" t="s">
        <v>1214</v>
      </c>
      <c r="B245" s="2" t="s">
        <v>429</v>
      </c>
      <c r="C245" s="2">
        <v>19201900851</v>
      </c>
      <c r="D245" s="2">
        <v>1.92</v>
      </c>
      <c r="E245" s="306" t="s">
        <v>419</v>
      </c>
    </row>
    <row r="246" spans="1:5" x14ac:dyDescent="0.25">
      <c r="A246" s="26" t="s">
        <v>1214</v>
      </c>
      <c r="B246" s="2" t="s">
        <v>429</v>
      </c>
      <c r="C246" s="2">
        <v>19201900858</v>
      </c>
      <c r="D246" s="2">
        <v>1.89</v>
      </c>
      <c r="E246" s="306" t="s">
        <v>419</v>
      </c>
    </row>
    <row r="247" spans="1:5" x14ac:dyDescent="0.25">
      <c r="A247" s="26" t="s">
        <v>1214</v>
      </c>
      <c r="B247" s="2" t="s">
        <v>429</v>
      </c>
      <c r="C247" s="2">
        <v>19201900832</v>
      </c>
      <c r="D247" s="2">
        <v>1.72</v>
      </c>
      <c r="E247" s="226" t="s">
        <v>420</v>
      </c>
    </row>
    <row r="248" spans="1:5" x14ac:dyDescent="0.25">
      <c r="A248" s="26" t="s">
        <v>1214</v>
      </c>
      <c r="B248" s="2" t="s">
        <v>429</v>
      </c>
      <c r="C248" s="2">
        <v>19201900869</v>
      </c>
      <c r="D248" s="2">
        <v>1.66</v>
      </c>
      <c r="E248" s="226" t="s">
        <v>420</v>
      </c>
    </row>
    <row r="249" spans="1:5" x14ac:dyDescent="0.25">
      <c r="A249" s="26" t="s">
        <v>1214</v>
      </c>
      <c r="B249" s="2" t="s">
        <v>429</v>
      </c>
      <c r="C249" s="2">
        <v>19201900870</v>
      </c>
      <c r="D249" s="2">
        <v>1.24</v>
      </c>
      <c r="E249" s="226" t="s">
        <v>420</v>
      </c>
    </row>
    <row r="250" spans="1:5" x14ac:dyDescent="0.25">
      <c r="A250" s="26" t="s">
        <v>1214</v>
      </c>
      <c r="B250" s="600" t="s">
        <v>430</v>
      </c>
      <c r="C250" s="2">
        <v>19201900817</v>
      </c>
      <c r="D250" s="2">
        <v>2.46</v>
      </c>
      <c r="E250" s="306" t="s">
        <v>419</v>
      </c>
    </row>
    <row r="251" spans="1:5" x14ac:dyDescent="0.25">
      <c r="A251" s="26" t="s">
        <v>1214</v>
      </c>
      <c r="B251" s="600" t="s">
        <v>430</v>
      </c>
      <c r="C251" s="2">
        <v>19201900834</v>
      </c>
      <c r="D251" s="2">
        <v>2.46</v>
      </c>
      <c r="E251" s="306" t="s">
        <v>419</v>
      </c>
    </row>
    <row r="252" spans="1:5" x14ac:dyDescent="0.25">
      <c r="A252" s="26" t="s">
        <v>1214</v>
      </c>
      <c r="B252" s="600" t="s">
        <v>430</v>
      </c>
      <c r="C252" s="2">
        <v>19201900862</v>
      </c>
      <c r="D252" s="2">
        <v>2.38</v>
      </c>
      <c r="E252" s="306" t="s">
        <v>419</v>
      </c>
    </row>
    <row r="253" spans="1:5" x14ac:dyDescent="0.25">
      <c r="A253" s="26" t="s">
        <v>1214</v>
      </c>
      <c r="B253" s="600" t="s">
        <v>430</v>
      </c>
      <c r="C253" s="2">
        <v>19201900827</v>
      </c>
      <c r="D253" s="2">
        <v>2.34</v>
      </c>
      <c r="E253" s="306" t="s">
        <v>419</v>
      </c>
    </row>
    <row r="254" spans="1:5" x14ac:dyDescent="0.25">
      <c r="A254" s="26" t="s">
        <v>1214</v>
      </c>
      <c r="B254" s="600" t="s">
        <v>430</v>
      </c>
      <c r="C254" s="2">
        <v>19201900871</v>
      </c>
      <c r="D254" s="2">
        <v>2.33</v>
      </c>
      <c r="E254" s="306" t="s">
        <v>419</v>
      </c>
    </row>
    <row r="255" spans="1:5" x14ac:dyDescent="0.25">
      <c r="A255" s="26" t="s">
        <v>1214</v>
      </c>
      <c r="B255" s="600" t="s">
        <v>430</v>
      </c>
      <c r="C255" s="2">
        <v>19201900850</v>
      </c>
      <c r="D255" s="2">
        <v>2.2999999999999998</v>
      </c>
      <c r="E255" s="306" t="s">
        <v>419</v>
      </c>
    </row>
    <row r="256" spans="1:5" x14ac:dyDescent="0.25">
      <c r="A256" s="26" t="s">
        <v>1214</v>
      </c>
      <c r="B256" s="600" t="s">
        <v>430</v>
      </c>
      <c r="C256" s="2">
        <v>19201900838</v>
      </c>
      <c r="D256" s="2">
        <v>2.25</v>
      </c>
      <c r="E256" s="306" t="s">
        <v>419</v>
      </c>
    </row>
    <row r="257" spans="1:5" x14ac:dyDescent="0.25">
      <c r="A257" s="26" t="s">
        <v>1214</v>
      </c>
      <c r="B257" s="600" t="s">
        <v>430</v>
      </c>
      <c r="C257" s="2">
        <v>19201900815</v>
      </c>
      <c r="D257" s="2">
        <v>2.23</v>
      </c>
      <c r="E257" s="306" t="s">
        <v>419</v>
      </c>
    </row>
    <row r="258" spans="1:5" x14ac:dyDescent="0.25">
      <c r="A258" s="26" t="s">
        <v>1214</v>
      </c>
      <c r="B258" s="600" t="s">
        <v>430</v>
      </c>
      <c r="C258" s="2">
        <v>19201900820</v>
      </c>
      <c r="D258" s="2">
        <v>2.1</v>
      </c>
      <c r="E258" s="306" t="s">
        <v>419</v>
      </c>
    </row>
    <row r="259" spans="1:5" x14ac:dyDescent="0.25">
      <c r="A259" s="26" t="s">
        <v>1214</v>
      </c>
      <c r="B259" s="600" t="s">
        <v>430</v>
      </c>
      <c r="C259" s="2">
        <v>19201900863</v>
      </c>
      <c r="D259" s="2">
        <v>2.1</v>
      </c>
      <c r="E259" s="306" t="s">
        <v>419</v>
      </c>
    </row>
    <row r="260" spans="1:5" x14ac:dyDescent="0.25">
      <c r="A260" s="26" t="s">
        <v>1214</v>
      </c>
      <c r="B260" s="600" t="s">
        <v>430</v>
      </c>
      <c r="C260" s="2">
        <v>19201900828</v>
      </c>
      <c r="D260" s="2">
        <v>2.09</v>
      </c>
      <c r="E260" s="306" t="s">
        <v>419</v>
      </c>
    </row>
    <row r="261" spans="1:5" x14ac:dyDescent="0.25">
      <c r="A261" s="26" t="s">
        <v>1214</v>
      </c>
      <c r="B261" s="600" t="s">
        <v>430</v>
      </c>
      <c r="C261" s="2">
        <v>19201900803</v>
      </c>
      <c r="D261" s="2">
        <v>2.08</v>
      </c>
      <c r="E261" s="306" t="s">
        <v>419</v>
      </c>
    </row>
    <row r="262" spans="1:5" x14ac:dyDescent="0.25">
      <c r="A262" s="26" t="s">
        <v>1214</v>
      </c>
      <c r="B262" s="600" t="s">
        <v>430</v>
      </c>
      <c r="C262" s="2">
        <v>19201900899</v>
      </c>
      <c r="D262" s="2">
        <v>2.0699999999999998</v>
      </c>
      <c r="E262" s="306" t="s">
        <v>419</v>
      </c>
    </row>
    <row r="263" spans="1:5" x14ac:dyDescent="0.25">
      <c r="A263" s="26" t="s">
        <v>1214</v>
      </c>
      <c r="B263" s="600" t="s">
        <v>430</v>
      </c>
      <c r="C263" s="2">
        <v>19201900826</v>
      </c>
      <c r="D263" s="2">
        <v>2</v>
      </c>
      <c r="E263" s="306" t="s">
        <v>419</v>
      </c>
    </row>
    <row r="264" spans="1:5" x14ac:dyDescent="0.25">
      <c r="A264" s="26" t="s">
        <v>1214</v>
      </c>
      <c r="B264" s="600" t="s">
        <v>430</v>
      </c>
      <c r="C264" s="2">
        <v>19201900868</v>
      </c>
      <c r="D264" s="2">
        <v>1.99</v>
      </c>
      <c r="E264" s="306" t="s">
        <v>419</v>
      </c>
    </row>
    <row r="265" spans="1:5" x14ac:dyDescent="0.25">
      <c r="A265" s="26" t="s">
        <v>1214</v>
      </c>
      <c r="B265" s="600" t="s">
        <v>430</v>
      </c>
      <c r="C265" s="2">
        <v>19201900830</v>
      </c>
      <c r="D265" s="2">
        <v>1.97</v>
      </c>
      <c r="E265" s="306" t="s">
        <v>419</v>
      </c>
    </row>
    <row r="266" spans="1:5" x14ac:dyDescent="0.25">
      <c r="A266" s="26" t="s">
        <v>1214</v>
      </c>
      <c r="B266" s="600" t="s">
        <v>430</v>
      </c>
      <c r="C266" s="2">
        <v>19201900806</v>
      </c>
      <c r="D266" s="2">
        <v>1.96</v>
      </c>
      <c r="E266" s="306" t="s">
        <v>419</v>
      </c>
    </row>
    <row r="267" spans="1:5" x14ac:dyDescent="0.25">
      <c r="A267" s="26" t="s">
        <v>1214</v>
      </c>
      <c r="B267" s="600" t="s">
        <v>430</v>
      </c>
      <c r="C267" s="2">
        <v>19201900866</v>
      </c>
      <c r="D267" s="2">
        <v>1.93</v>
      </c>
      <c r="E267" s="306" t="s">
        <v>419</v>
      </c>
    </row>
    <row r="268" spans="1:5" x14ac:dyDescent="0.25">
      <c r="A268" s="26" t="s">
        <v>1214</v>
      </c>
      <c r="B268" s="600" t="s">
        <v>430</v>
      </c>
      <c r="C268" s="2">
        <v>19201900812</v>
      </c>
      <c r="D268" s="2">
        <v>1.89</v>
      </c>
      <c r="E268" s="306" t="s">
        <v>419</v>
      </c>
    </row>
    <row r="269" spans="1:5" x14ac:dyDescent="0.25">
      <c r="A269" s="26" t="s">
        <v>1214</v>
      </c>
      <c r="B269" s="600" t="s">
        <v>430</v>
      </c>
      <c r="C269" s="2">
        <v>19201900839</v>
      </c>
      <c r="D269" s="2">
        <v>1.83</v>
      </c>
      <c r="E269" s="306" t="s">
        <v>419</v>
      </c>
    </row>
    <row r="270" spans="1:5" x14ac:dyDescent="0.25">
      <c r="A270" s="26" t="s">
        <v>1214</v>
      </c>
      <c r="B270" s="600" t="s">
        <v>430</v>
      </c>
      <c r="C270" s="2">
        <v>19201900816</v>
      </c>
      <c r="D270" s="2">
        <v>1.81</v>
      </c>
      <c r="E270" s="306" t="s">
        <v>419</v>
      </c>
    </row>
    <row r="271" spans="1:5" x14ac:dyDescent="0.25">
      <c r="A271" s="26" t="s">
        <v>1214</v>
      </c>
      <c r="B271" s="600" t="s">
        <v>430</v>
      </c>
      <c r="C271" s="2">
        <v>19201900852</v>
      </c>
      <c r="D271" s="2">
        <v>1.78</v>
      </c>
      <c r="E271" s="226" t="s">
        <v>420</v>
      </c>
    </row>
    <row r="272" spans="1:5" x14ac:dyDescent="0.25">
      <c r="A272" s="26" t="s">
        <v>1214</v>
      </c>
      <c r="B272" s="600" t="s">
        <v>430</v>
      </c>
      <c r="C272" s="2">
        <v>19201900856</v>
      </c>
      <c r="D272" s="2">
        <v>1.76</v>
      </c>
      <c r="E272" s="226" t="s">
        <v>420</v>
      </c>
    </row>
    <row r="273" spans="1:5" x14ac:dyDescent="0.25">
      <c r="A273" s="26" t="s">
        <v>1214</v>
      </c>
      <c r="B273" s="600" t="s">
        <v>430</v>
      </c>
      <c r="C273" s="2">
        <v>19201900841</v>
      </c>
      <c r="D273" s="2">
        <v>1.59</v>
      </c>
      <c r="E273" s="226" t="s">
        <v>420</v>
      </c>
    </row>
    <row r="274" spans="1:5" x14ac:dyDescent="0.25">
      <c r="A274" s="26" t="s">
        <v>1214</v>
      </c>
      <c r="B274" s="600" t="s">
        <v>430</v>
      </c>
      <c r="C274" s="2">
        <v>19201900857</v>
      </c>
      <c r="D274" s="2">
        <v>1.54</v>
      </c>
      <c r="E274" s="226" t="s">
        <v>420</v>
      </c>
    </row>
    <row r="275" spans="1:5" x14ac:dyDescent="0.25">
      <c r="A275" s="26" t="s">
        <v>1214</v>
      </c>
      <c r="B275" s="600" t="s">
        <v>430</v>
      </c>
      <c r="C275" s="2">
        <v>19201900835</v>
      </c>
      <c r="D275" s="2">
        <v>1.39</v>
      </c>
      <c r="E275" s="226" t="s">
        <v>420</v>
      </c>
    </row>
    <row r="276" spans="1:5" x14ac:dyDescent="0.25">
      <c r="A276" s="26" t="s">
        <v>1214</v>
      </c>
      <c r="B276" s="26" t="s">
        <v>431</v>
      </c>
      <c r="C276" s="2">
        <v>19201900872</v>
      </c>
      <c r="D276" s="2">
        <v>2.14</v>
      </c>
      <c r="E276" s="306" t="s">
        <v>419</v>
      </c>
    </row>
    <row r="277" spans="1:5" x14ac:dyDescent="0.25">
      <c r="A277" s="26" t="s">
        <v>1214</v>
      </c>
      <c r="B277" s="26" t="s">
        <v>431</v>
      </c>
      <c r="C277" s="2">
        <v>19201900865</v>
      </c>
      <c r="D277" s="2">
        <v>1.75</v>
      </c>
      <c r="E277" s="226" t="s">
        <v>420</v>
      </c>
    </row>
    <row r="278" spans="1:5" x14ac:dyDescent="0.25">
      <c r="A278" s="26" t="s">
        <v>1214</v>
      </c>
      <c r="B278" s="26" t="s">
        <v>431</v>
      </c>
      <c r="C278" s="2">
        <v>19201900836</v>
      </c>
      <c r="D278" s="2">
        <v>1.67</v>
      </c>
      <c r="E278" s="226" t="s">
        <v>420</v>
      </c>
    </row>
    <row r="279" spans="1:5" x14ac:dyDescent="0.25">
      <c r="A279" s="375" t="s">
        <v>1214</v>
      </c>
      <c r="B279" s="375" t="s">
        <v>431</v>
      </c>
      <c r="C279" s="179">
        <v>19201900873</v>
      </c>
      <c r="D279" s="179">
        <v>1.55</v>
      </c>
      <c r="E279" s="383" t="s">
        <v>420</v>
      </c>
    </row>
    <row r="280" spans="1:5" x14ac:dyDescent="0.25">
      <c r="A280" s="655" t="s">
        <v>1250</v>
      </c>
      <c r="B280" s="655" t="s">
        <v>429</v>
      </c>
      <c r="C280" s="754">
        <v>19202000501</v>
      </c>
      <c r="D280" s="779">
        <v>2.37</v>
      </c>
      <c r="E280" s="674" t="s">
        <v>419</v>
      </c>
    </row>
    <row r="281" spans="1:5" x14ac:dyDescent="0.25">
      <c r="A281" s="655" t="s">
        <v>1250</v>
      </c>
      <c r="B281" s="655" t="s">
        <v>429</v>
      </c>
      <c r="C281" s="754">
        <v>19202000489</v>
      </c>
      <c r="D281" s="779">
        <v>2.3199999999999998</v>
      </c>
      <c r="E281" s="674" t="s">
        <v>419</v>
      </c>
    </row>
    <row r="282" spans="1:5" x14ac:dyDescent="0.25">
      <c r="A282" s="655" t="s">
        <v>1250</v>
      </c>
      <c r="B282" s="655" t="s">
        <v>429</v>
      </c>
      <c r="C282" s="754">
        <v>19202000503</v>
      </c>
      <c r="D282" s="779">
        <v>2.3199999999999998</v>
      </c>
      <c r="E282" s="674" t="s">
        <v>419</v>
      </c>
    </row>
    <row r="283" spans="1:5" x14ac:dyDescent="0.25">
      <c r="A283" s="655" t="s">
        <v>1250</v>
      </c>
      <c r="B283" s="655" t="s">
        <v>429</v>
      </c>
      <c r="C283" s="754">
        <v>19202000500</v>
      </c>
      <c r="D283" s="779">
        <v>2.2599999999999998</v>
      </c>
      <c r="E283" s="674" t="s">
        <v>419</v>
      </c>
    </row>
    <row r="284" spans="1:5" x14ac:dyDescent="0.25">
      <c r="A284" s="655" t="s">
        <v>1250</v>
      </c>
      <c r="B284" s="655" t="s">
        <v>429</v>
      </c>
      <c r="C284" s="754">
        <v>19202000490</v>
      </c>
      <c r="D284" s="779">
        <v>2.15</v>
      </c>
      <c r="E284" s="674" t="s">
        <v>419</v>
      </c>
    </row>
    <row r="285" spans="1:5" x14ac:dyDescent="0.25">
      <c r="A285" s="655" t="s">
        <v>1250</v>
      </c>
      <c r="B285" s="655" t="s">
        <v>429</v>
      </c>
      <c r="C285" s="754">
        <v>19202000491</v>
      </c>
      <c r="D285" s="779">
        <v>2.04</v>
      </c>
      <c r="E285" s="674" t="s">
        <v>419</v>
      </c>
    </row>
    <row r="286" spans="1:5" x14ac:dyDescent="0.25">
      <c r="A286" s="655" t="s">
        <v>1250</v>
      </c>
      <c r="B286" s="655" t="s">
        <v>429</v>
      </c>
      <c r="C286" s="754">
        <v>19202000485</v>
      </c>
      <c r="D286" s="779">
        <v>1.99</v>
      </c>
      <c r="E286" s="683" t="s">
        <v>420</v>
      </c>
    </row>
    <row r="287" spans="1:5" x14ac:dyDescent="0.25">
      <c r="A287" s="655" t="s">
        <v>1250</v>
      </c>
      <c r="B287" s="655" t="s">
        <v>429</v>
      </c>
      <c r="C287" s="754">
        <v>19202000506</v>
      </c>
      <c r="D287" s="779">
        <v>1.95</v>
      </c>
      <c r="E287" s="683" t="s">
        <v>420</v>
      </c>
    </row>
    <row r="288" spans="1:5" x14ac:dyDescent="0.25">
      <c r="A288" s="655" t="s">
        <v>1250</v>
      </c>
      <c r="B288" s="655" t="s">
        <v>429</v>
      </c>
      <c r="C288" s="754">
        <v>19202000478</v>
      </c>
      <c r="D288" s="779">
        <v>1.89</v>
      </c>
      <c r="E288" s="683" t="s">
        <v>420</v>
      </c>
    </row>
    <row r="289" spans="1:5" x14ac:dyDescent="0.25">
      <c r="A289" s="655" t="s">
        <v>1250</v>
      </c>
      <c r="B289" s="655" t="s">
        <v>429</v>
      </c>
      <c r="C289" s="754">
        <v>19202000508</v>
      </c>
      <c r="D289" s="779">
        <v>1.75</v>
      </c>
      <c r="E289" s="683" t="s">
        <v>420</v>
      </c>
    </row>
    <row r="290" spans="1:5" x14ac:dyDescent="0.25">
      <c r="A290" s="655" t="s">
        <v>1250</v>
      </c>
      <c r="B290" s="655" t="s">
        <v>429</v>
      </c>
      <c r="C290" s="754">
        <v>19202000513</v>
      </c>
      <c r="D290" s="779">
        <v>1.72</v>
      </c>
      <c r="E290" s="683" t="s">
        <v>420</v>
      </c>
    </row>
    <row r="291" spans="1:5" x14ac:dyDescent="0.25">
      <c r="A291" s="732" t="s">
        <v>1250</v>
      </c>
      <c r="B291" s="732" t="s">
        <v>429</v>
      </c>
      <c r="C291" s="762">
        <v>19202000498</v>
      </c>
      <c r="D291" s="780">
        <v>1.55</v>
      </c>
      <c r="E291" s="736" t="s">
        <v>420</v>
      </c>
    </row>
    <row r="292" spans="1:5" x14ac:dyDescent="0.25">
      <c r="A292" s="655" t="s">
        <v>1250</v>
      </c>
      <c r="B292" s="655" t="s">
        <v>430</v>
      </c>
      <c r="C292" s="754">
        <v>19202000481</v>
      </c>
      <c r="D292" s="779">
        <v>2.5099999999999998</v>
      </c>
      <c r="E292" s="701" t="s">
        <v>419</v>
      </c>
    </row>
    <row r="293" spans="1:5" x14ac:dyDescent="0.25">
      <c r="A293" s="655" t="s">
        <v>1250</v>
      </c>
      <c r="B293" s="655" t="s">
        <v>430</v>
      </c>
      <c r="C293" s="753">
        <v>19202000507</v>
      </c>
      <c r="D293" s="781">
        <v>2.4300000000000002</v>
      </c>
      <c r="E293" s="701" t="s">
        <v>419</v>
      </c>
    </row>
    <row r="294" spans="1:5" x14ac:dyDescent="0.25">
      <c r="A294" s="655" t="s">
        <v>1250</v>
      </c>
      <c r="B294" s="655" t="s">
        <v>430</v>
      </c>
      <c r="C294" s="753">
        <v>19202000493</v>
      </c>
      <c r="D294" s="781">
        <v>2.4</v>
      </c>
      <c r="E294" s="701" t="s">
        <v>419</v>
      </c>
    </row>
    <row r="295" spans="1:5" x14ac:dyDescent="0.25">
      <c r="A295" s="655" t="s">
        <v>1250</v>
      </c>
      <c r="B295" s="655" t="s">
        <v>430</v>
      </c>
      <c r="C295" s="753">
        <v>19202000487</v>
      </c>
      <c r="D295" s="781">
        <v>2.36</v>
      </c>
      <c r="E295" s="701" t="s">
        <v>419</v>
      </c>
    </row>
    <row r="296" spans="1:5" x14ac:dyDescent="0.25">
      <c r="A296" s="655" t="s">
        <v>1250</v>
      </c>
      <c r="B296" s="655" t="s">
        <v>430</v>
      </c>
      <c r="C296" s="753">
        <v>19202000488</v>
      </c>
      <c r="D296" s="781">
        <v>2.33</v>
      </c>
      <c r="E296" s="701" t="s">
        <v>419</v>
      </c>
    </row>
    <row r="297" spans="1:5" x14ac:dyDescent="0.25">
      <c r="A297" s="655" t="s">
        <v>1250</v>
      </c>
      <c r="B297" s="655" t="s">
        <v>430</v>
      </c>
      <c r="C297" s="753">
        <v>19202000495</v>
      </c>
      <c r="D297" s="781">
        <v>2.3199999999999998</v>
      </c>
      <c r="E297" s="701" t="s">
        <v>419</v>
      </c>
    </row>
    <row r="298" spans="1:5" x14ac:dyDescent="0.25">
      <c r="A298" s="655" t="s">
        <v>1250</v>
      </c>
      <c r="B298" s="655" t="s">
        <v>430</v>
      </c>
      <c r="C298" s="753">
        <v>19202000494</v>
      </c>
      <c r="D298" s="781">
        <v>2.2599999999999998</v>
      </c>
      <c r="E298" s="701" t="s">
        <v>419</v>
      </c>
    </row>
    <row r="299" spans="1:5" x14ac:dyDescent="0.25">
      <c r="A299" s="655" t="s">
        <v>1250</v>
      </c>
      <c r="B299" s="655" t="s">
        <v>430</v>
      </c>
      <c r="C299" s="753">
        <v>19202000492</v>
      </c>
      <c r="D299" s="781">
        <v>2.25</v>
      </c>
      <c r="E299" s="701" t="s">
        <v>419</v>
      </c>
    </row>
    <row r="300" spans="1:5" x14ac:dyDescent="0.25">
      <c r="A300" s="655" t="s">
        <v>1250</v>
      </c>
      <c r="B300" s="655" t="s">
        <v>430</v>
      </c>
      <c r="C300" s="753">
        <v>19202000504</v>
      </c>
      <c r="D300" s="781">
        <v>2.2400000000000002</v>
      </c>
      <c r="E300" s="701" t="s">
        <v>419</v>
      </c>
    </row>
    <row r="301" spans="1:5" x14ac:dyDescent="0.25">
      <c r="A301" s="655" t="s">
        <v>1250</v>
      </c>
      <c r="B301" s="655" t="s">
        <v>430</v>
      </c>
      <c r="C301" s="753">
        <v>19202000511</v>
      </c>
      <c r="D301" s="781">
        <v>2.1800000000000002</v>
      </c>
      <c r="E301" s="701" t="s">
        <v>419</v>
      </c>
    </row>
    <row r="302" spans="1:5" x14ac:dyDescent="0.25">
      <c r="A302" s="655" t="s">
        <v>1250</v>
      </c>
      <c r="B302" s="655" t="s">
        <v>430</v>
      </c>
      <c r="C302" s="753">
        <v>19202000496</v>
      </c>
      <c r="D302" s="781">
        <v>2.13</v>
      </c>
      <c r="E302" s="701" t="s">
        <v>419</v>
      </c>
    </row>
    <row r="303" spans="1:5" x14ac:dyDescent="0.25">
      <c r="A303" s="655" t="s">
        <v>1250</v>
      </c>
      <c r="B303" s="655" t="s">
        <v>430</v>
      </c>
      <c r="C303" s="753">
        <v>19202000486</v>
      </c>
      <c r="D303" s="781">
        <v>2.1</v>
      </c>
      <c r="E303" s="701" t="s">
        <v>419</v>
      </c>
    </row>
    <row r="304" spans="1:5" x14ac:dyDescent="0.25">
      <c r="A304" s="655" t="s">
        <v>1250</v>
      </c>
      <c r="B304" s="655" t="s">
        <v>430</v>
      </c>
      <c r="C304" s="753">
        <v>19202000505</v>
      </c>
      <c r="D304" s="781">
        <v>2.1</v>
      </c>
      <c r="E304" s="701" t="s">
        <v>419</v>
      </c>
    </row>
    <row r="305" spans="1:5" x14ac:dyDescent="0.25">
      <c r="A305" s="655" t="s">
        <v>1250</v>
      </c>
      <c r="B305" s="655" t="s">
        <v>430</v>
      </c>
      <c r="C305" s="753">
        <v>19202000499</v>
      </c>
      <c r="D305" s="781">
        <v>2.04</v>
      </c>
      <c r="E305" s="701" t="s">
        <v>419</v>
      </c>
    </row>
    <row r="306" spans="1:5" x14ac:dyDescent="0.25">
      <c r="A306" s="655" t="s">
        <v>1250</v>
      </c>
      <c r="B306" s="655" t="s">
        <v>430</v>
      </c>
      <c r="C306" s="753">
        <v>19202000509</v>
      </c>
      <c r="D306" s="781">
        <v>2.0299999999999998</v>
      </c>
      <c r="E306" s="701" t="s">
        <v>419</v>
      </c>
    </row>
    <row r="307" spans="1:5" x14ac:dyDescent="0.25">
      <c r="A307" s="655" t="s">
        <v>1250</v>
      </c>
      <c r="B307" s="655" t="s">
        <v>430</v>
      </c>
      <c r="C307" s="754">
        <v>19202000479</v>
      </c>
      <c r="D307" s="779">
        <v>2</v>
      </c>
      <c r="E307" s="701" t="s">
        <v>419</v>
      </c>
    </row>
    <row r="308" spans="1:5" x14ac:dyDescent="0.25">
      <c r="A308" s="655" t="s">
        <v>1250</v>
      </c>
      <c r="B308" s="655" t="s">
        <v>430</v>
      </c>
      <c r="C308" s="754">
        <v>19202000480</v>
      </c>
      <c r="D308" s="779">
        <v>1.96</v>
      </c>
      <c r="E308" s="701" t="s">
        <v>419</v>
      </c>
    </row>
    <row r="309" spans="1:5" x14ac:dyDescent="0.25">
      <c r="A309" s="655" t="s">
        <v>1250</v>
      </c>
      <c r="B309" s="655" t="s">
        <v>430</v>
      </c>
      <c r="C309" s="754">
        <v>19202000510</v>
      </c>
      <c r="D309" s="779">
        <v>1.97</v>
      </c>
      <c r="E309" s="683" t="s">
        <v>420</v>
      </c>
    </row>
    <row r="310" spans="1:5" x14ac:dyDescent="0.25">
      <c r="A310" s="655" t="s">
        <v>1250</v>
      </c>
      <c r="B310" s="655" t="s">
        <v>430</v>
      </c>
      <c r="C310" s="754">
        <v>19202000483</v>
      </c>
      <c r="D310" s="779">
        <v>1.92</v>
      </c>
      <c r="E310" s="683" t="s">
        <v>420</v>
      </c>
    </row>
    <row r="311" spans="1:5" x14ac:dyDescent="0.25">
      <c r="A311" s="655" t="s">
        <v>1250</v>
      </c>
      <c r="B311" s="655" t="s">
        <v>430</v>
      </c>
      <c r="C311" s="754">
        <v>19202000502</v>
      </c>
      <c r="D311" s="779">
        <v>1.91</v>
      </c>
      <c r="E311" s="683" t="s">
        <v>420</v>
      </c>
    </row>
    <row r="312" spans="1:5" x14ac:dyDescent="0.25">
      <c r="A312" s="655" t="s">
        <v>1250</v>
      </c>
      <c r="B312" s="655" t="s">
        <v>430</v>
      </c>
      <c r="C312" s="754">
        <v>19202000484</v>
      </c>
      <c r="D312" s="779">
        <v>1.75</v>
      </c>
      <c r="E312" s="683" t="s">
        <v>420</v>
      </c>
    </row>
    <row r="313" spans="1:5" x14ac:dyDescent="0.25">
      <c r="A313" s="655" t="s">
        <v>1250</v>
      </c>
      <c r="B313" s="655" t="s">
        <v>430</v>
      </c>
      <c r="C313" s="753">
        <v>19202000482</v>
      </c>
      <c r="D313" s="781">
        <v>1.71</v>
      </c>
      <c r="E313" s="683" t="s">
        <v>420</v>
      </c>
    </row>
    <row r="314" spans="1:5" x14ac:dyDescent="0.25">
      <c r="A314" s="655" t="s">
        <v>1250</v>
      </c>
      <c r="B314" s="655" t="s">
        <v>430</v>
      </c>
      <c r="C314" s="753">
        <v>19202000512</v>
      </c>
      <c r="D314" s="781">
        <v>1.47</v>
      </c>
      <c r="E314" s="683" t="s">
        <v>420</v>
      </c>
    </row>
    <row r="315" spans="1:5" x14ac:dyDescent="0.25">
      <c r="A315" s="181" t="s">
        <v>1376</v>
      </c>
      <c r="B315" s="181" t="s">
        <v>1377</v>
      </c>
      <c r="C315" s="2">
        <v>19202100675</v>
      </c>
      <c r="D315" s="2">
        <v>2.57</v>
      </c>
      <c r="E315" s="701" t="s">
        <v>419</v>
      </c>
    </row>
    <row r="316" spans="1:5" x14ac:dyDescent="0.25">
      <c r="A316" s="181" t="s">
        <v>1376</v>
      </c>
      <c r="B316" s="181" t="s">
        <v>1377</v>
      </c>
      <c r="C316" s="2">
        <v>19202100672</v>
      </c>
      <c r="D316" s="2">
        <v>2.4500000000000002</v>
      </c>
      <c r="E316" s="701" t="s">
        <v>419</v>
      </c>
    </row>
    <row r="317" spans="1:5" x14ac:dyDescent="0.25">
      <c r="A317" s="181" t="s">
        <v>1376</v>
      </c>
      <c r="B317" s="181" t="s">
        <v>1377</v>
      </c>
      <c r="C317" s="2">
        <v>19202100683</v>
      </c>
      <c r="D317" s="2">
        <v>2.33</v>
      </c>
      <c r="E317" s="701" t="s">
        <v>419</v>
      </c>
    </row>
    <row r="318" spans="1:5" x14ac:dyDescent="0.25">
      <c r="A318" s="181" t="s">
        <v>1376</v>
      </c>
      <c r="B318" s="181" t="s">
        <v>1377</v>
      </c>
      <c r="C318" s="2">
        <v>19202100674</v>
      </c>
      <c r="D318" s="2">
        <v>2.31</v>
      </c>
      <c r="E318" s="701" t="s">
        <v>419</v>
      </c>
    </row>
    <row r="319" spans="1:5" x14ac:dyDescent="0.25">
      <c r="A319" s="181" t="s">
        <v>1376</v>
      </c>
      <c r="B319" s="181" t="s">
        <v>1377</v>
      </c>
      <c r="C319" s="2">
        <v>19202100676</v>
      </c>
      <c r="D319" s="2">
        <v>2.15</v>
      </c>
      <c r="E319" s="701" t="s">
        <v>419</v>
      </c>
    </row>
    <row r="320" spans="1:5" x14ac:dyDescent="0.25">
      <c r="A320" s="181" t="s">
        <v>1376</v>
      </c>
      <c r="B320" s="181" t="s">
        <v>1377</v>
      </c>
      <c r="C320" s="2">
        <v>19202100687</v>
      </c>
      <c r="D320" s="2">
        <v>2.09</v>
      </c>
      <c r="E320" s="701" t="s">
        <v>419</v>
      </c>
    </row>
    <row r="321" spans="1:5" x14ac:dyDescent="0.25">
      <c r="A321" s="181" t="s">
        <v>1376</v>
      </c>
      <c r="B321" s="181" t="s">
        <v>1377</v>
      </c>
      <c r="C321" s="2">
        <v>19202100664</v>
      </c>
      <c r="D321" s="2">
        <v>2.04</v>
      </c>
      <c r="E321" s="701" t="s">
        <v>419</v>
      </c>
    </row>
    <row r="322" spans="1:5" x14ac:dyDescent="0.25">
      <c r="A322" s="181" t="s">
        <v>1376</v>
      </c>
      <c r="B322" s="181" t="s">
        <v>1377</v>
      </c>
      <c r="C322" s="2">
        <v>19202100686</v>
      </c>
      <c r="D322" s="2">
        <v>2.04</v>
      </c>
      <c r="E322" s="701" t="s">
        <v>419</v>
      </c>
    </row>
    <row r="323" spans="1:5" x14ac:dyDescent="0.25">
      <c r="A323" s="181" t="s">
        <v>1376</v>
      </c>
      <c r="B323" s="181" t="s">
        <v>1377</v>
      </c>
      <c r="C323" s="2">
        <v>19202100684</v>
      </c>
      <c r="D323" s="2">
        <v>1.95</v>
      </c>
      <c r="E323" s="701" t="s">
        <v>419</v>
      </c>
    </row>
    <row r="324" spans="1:5" x14ac:dyDescent="0.25">
      <c r="A324" s="181" t="s">
        <v>1376</v>
      </c>
      <c r="B324" s="181" t="s">
        <v>1377</v>
      </c>
      <c r="C324" s="2">
        <v>19202100677</v>
      </c>
      <c r="D324" s="2">
        <v>1.84</v>
      </c>
      <c r="E324" s="701" t="s">
        <v>419</v>
      </c>
    </row>
    <row r="325" spans="1:5" x14ac:dyDescent="0.25">
      <c r="A325" s="181" t="s">
        <v>1376</v>
      </c>
      <c r="B325" s="181" t="s">
        <v>1377</v>
      </c>
      <c r="C325" s="2">
        <v>19202100682</v>
      </c>
      <c r="D325" s="2">
        <v>1.94</v>
      </c>
      <c r="E325" s="683" t="s">
        <v>420</v>
      </c>
    </row>
    <row r="326" spans="1:5" x14ac:dyDescent="0.25">
      <c r="A326" s="181" t="s">
        <v>1376</v>
      </c>
      <c r="B326" s="181" t="s">
        <v>1377</v>
      </c>
      <c r="C326" s="2">
        <v>19202100679</v>
      </c>
      <c r="D326" s="2">
        <v>1.93</v>
      </c>
      <c r="E326" s="683" t="s">
        <v>420</v>
      </c>
    </row>
    <row r="327" spans="1:5" x14ac:dyDescent="0.25">
      <c r="A327" s="181" t="s">
        <v>1376</v>
      </c>
      <c r="B327" s="181" t="s">
        <v>1377</v>
      </c>
      <c r="C327" s="2">
        <v>19202100685</v>
      </c>
      <c r="D327" s="2">
        <v>1.73</v>
      </c>
      <c r="E327" s="683" t="s">
        <v>420</v>
      </c>
    </row>
    <row r="328" spans="1:5" x14ac:dyDescent="0.25">
      <c r="A328" s="181" t="s">
        <v>1376</v>
      </c>
      <c r="B328" s="181" t="s">
        <v>1377</v>
      </c>
      <c r="C328" s="2">
        <v>19202100673</v>
      </c>
      <c r="D328" s="2">
        <v>1.72</v>
      </c>
      <c r="E328" s="683" t="s">
        <v>420</v>
      </c>
    </row>
    <row r="329" spans="1:5" x14ac:dyDescent="0.25">
      <c r="A329" s="181" t="s">
        <v>1376</v>
      </c>
      <c r="B329" s="181" t="s">
        <v>1377</v>
      </c>
      <c r="C329" s="2">
        <v>19202100681</v>
      </c>
      <c r="D329" s="2">
        <v>1.61</v>
      </c>
      <c r="E329" s="683" t="s">
        <v>420</v>
      </c>
    </row>
    <row r="330" spans="1:5" x14ac:dyDescent="0.25">
      <c r="A330" s="181" t="s">
        <v>1376</v>
      </c>
      <c r="B330" s="181" t="s">
        <v>1377</v>
      </c>
      <c r="C330" s="2">
        <v>19202100680</v>
      </c>
      <c r="D330" s="2">
        <v>1.51</v>
      </c>
      <c r="E330" s="683" t="s">
        <v>420</v>
      </c>
    </row>
    <row r="331" spans="1:5" x14ac:dyDescent="0.25">
      <c r="A331" s="181" t="s">
        <v>1376</v>
      </c>
      <c r="B331" s="181" t="s">
        <v>1377</v>
      </c>
      <c r="C331" s="2">
        <v>19202100666</v>
      </c>
      <c r="D331" s="2">
        <v>1.44</v>
      </c>
      <c r="E331" s="683" t="s">
        <v>420</v>
      </c>
    </row>
    <row r="332" spans="1:5" x14ac:dyDescent="0.25">
      <c r="A332" s="181" t="s">
        <v>1376</v>
      </c>
      <c r="B332" s="181" t="s">
        <v>1377</v>
      </c>
      <c r="C332" s="2">
        <v>19202100678</v>
      </c>
      <c r="D332" s="2">
        <v>1.36</v>
      </c>
      <c r="E332" s="683" t="s">
        <v>420</v>
      </c>
    </row>
    <row r="333" spans="1:5" x14ac:dyDescent="0.25">
      <c r="A333" s="2" t="s">
        <v>1429</v>
      </c>
      <c r="B333" s="2" t="s">
        <v>1430</v>
      </c>
      <c r="C333" s="2">
        <v>19202101313</v>
      </c>
      <c r="D333" s="2">
        <v>2.72</v>
      </c>
      <c r="E333" s="701" t="s">
        <v>419</v>
      </c>
    </row>
    <row r="334" spans="1:5" x14ac:dyDescent="0.25">
      <c r="A334" s="2" t="s">
        <v>1429</v>
      </c>
      <c r="B334" s="2" t="s">
        <v>1430</v>
      </c>
      <c r="C334" s="2">
        <v>19202101306</v>
      </c>
      <c r="D334" s="2">
        <v>2.69</v>
      </c>
      <c r="E334" s="701" t="s">
        <v>419</v>
      </c>
    </row>
    <row r="335" spans="1:5" x14ac:dyDescent="0.25">
      <c r="A335" s="2" t="s">
        <v>1429</v>
      </c>
      <c r="B335" s="2" t="s">
        <v>1430</v>
      </c>
      <c r="C335" s="2">
        <v>19202101309</v>
      </c>
      <c r="D335" s="2">
        <v>2.69</v>
      </c>
      <c r="E335" s="701" t="s">
        <v>419</v>
      </c>
    </row>
    <row r="336" spans="1:5" x14ac:dyDescent="0.25">
      <c r="A336" s="2" t="s">
        <v>1429</v>
      </c>
      <c r="B336" s="2" t="s">
        <v>1430</v>
      </c>
      <c r="C336" s="2">
        <v>19202101300</v>
      </c>
      <c r="D336" s="2">
        <v>2.65</v>
      </c>
      <c r="E336" s="701" t="s">
        <v>419</v>
      </c>
    </row>
    <row r="337" spans="1:5" x14ac:dyDescent="0.25">
      <c r="A337" s="2" t="s">
        <v>1429</v>
      </c>
      <c r="B337" s="2" t="s">
        <v>1430</v>
      </c>
      <c r="C337" s="2">
        <v>19202101298</v>
      </c>
      <c r="D337" s="2">
        <v>2.5</v>
      </c>
      <c r="E337" s="701" t="s">
        <v>419</v>
      </c>
    </row>
    <row r="338" spans="1:5" x14ac:dyDescent="0.25">
      <c r="A338" s="2" t="s">
        <v>1429</v>
      </c>
      <c r="B338" s="2" t="s">
        <v>1430</v>
      </c>
      <c r="C338" s="2">
        <v>19202101276</v>
      </c>
      <c r="D338" s="2">
        <v>2.4</v>
      </c>
      <c r="E338" s="701" t="s">
        <v>419</v>
      </c>
    </row>
    <row r="339" spans="1:5" x14ac:dyDescent="0.25">
      <c r="A339" s="2" t="s">
        <v>1429</v>
      </c>
      <c r="B339" s="2" t="s">
        <v>1430</v>
      </c>
      <c r="C339" s="2">
        <v>19202101311</v>
      </c>
      <c r="D339" s="2">
        <v>2.2000000000000002</v>
      </c>
      <c r="E339" s="701" t="s">
        <v>419</v>
      </c>
    </row>
    <row r="340" spans="1:5" x14ac:dyDescent="0.25">
      <c r="A340" s="2" t="s">
        <v>1429</v>
      </c>
      <c r="B340" s="2" t="s">
        <v>1430</v>
      </c>
      <c r="C340" s="2">
        <v>19202101318</v>
      </c>
      <c r="D340" s="2">
        <v>2.19</v>
      </c>
      <c r="E340" s="701" t="s">
        <v>419</v>
      </c>
    </row>
    <row r="341" spans="1:5" x14ac:dyDescent="0.25">
      <c r="A341" s="2" t="s">
        <v>1429</v>
      </c>
      <c r="B341" s="2" t="s">
        <v>1430</v>
      </c>
      <c r="C341" s="2">
        <v>19202101317</v>
      </c>
      <c r="D341" s="2">
        <v>1.89</v>
      </c>
      <c r="E341" s="701" t="s">
        <v>419</v>
      </c>
    </row>
    <row r="342" spans="1:5" x14ac:dyDescent="0.25">
      <c r="A342" s="2" t="s">
        <v>1429</v>
      </c>
      <c r="B342" s="2" t="s">
        <v>1430</v>
      </c>
      <c r="C342" s="2">
        <v>19202101303</v>
      </c>
      <c r="D342" s="2">
        <v>1.85</v>
      </c>
      <c r="E342" s="701" t="s">
        <v>419</v>
      </c>
    </row>
    <row r="343" spans="1:5" x14ac:dyDescent="0.25">
      <c r="A343" s="2" t="s">
        <v>1429</v>
      </c>
      <c r="B343" s="2" t="s">
        <v>1430</v>
      </c>
      <c r="C343" s="2">
        <v>19202101327</v>
      </c>
      <c r="D343" s="2">
        <v>1.84</v>
      </c>
      <c r="E343" s="701" t="s">
        <v>419</v>
      </c>
    </row>
    <row r="344" spans="1:5" x14ac:dyDescent="0.25">
      <c r="A344" s="2" t="s">
        <v>1429</v>
      </c>
      <c r="B344" s="2" t="s">
        <v>1430</v>
      </c>
      <c r="C344" s="2">
        <v>19202101269</v>
      </c>
      <c r="D344" s="86">
        <v>1.52</v>
      </c>
      <c r="E344" s="830" t="s">
        <v>420</v>
      </c>
    </row>
    <row r="345" spans="1:5" x14ac:dyDescent="0.25">
      <c r="A345" s="2" t="s">
        <v>1429</v>
      </c>
      <c r="B345" s="2" t="s">
        <v>1431</v>
      </c>
      <c r="C345" s="2">
        <v>19202101281</v>
      </c>
      <c r="D345" s="2">
        <v>2.66</v>
      </c>
      <c r="E345" s="701" t="s">
        <v>419</v>
      </c>
    </row>
    <row r="346" spans="1:5" x14ac:dyDescent="0.25">
      <c r="A346" s="2" t="s">
        <v>1429</v>
      </c>
      <c r="B346" s="2" t="s">
        <v>1431</v>
      </c>
      <c r="C346" s="2">
        <v>19202101278</v>
      </c>
      <c r="D346" s="2">
        <v>2.62</v>
      </c>
      <c r="E346" s="701" t="s">
        <v>419</v>
      </c>
    </row>
    <row r="347" spans="1:5" x14ac:dyDescent="0.25">
      <c r="A347" s="2" t="s">
        <v>1429</v>
      </c>
      <c r="B347" s="2" t="s">
        <v>1431</v>
      </c>
      <c r="C347" s="2">
        <v>19202101326</v>
      </c>
      <c r="D347" s="2">
        <v>2.61</v>
      </c>
      <c r="E347" s="701" t="s">
        <v>419</v>
      </c>
    </row>
    <row r="348" spans="1:5" x14ac:dyDescent="0.25">
      <c r="A348" s="2" t="s">
        <v>1429</v>
      </c>
      <c r="B348" s="2" t="s">
        <v>1431</v>
      </c>
      <c r="C348" s="2">
        <v>19202101285</v>
      </c>
      <c r="D348" s="2">
        <v>2.5499999999999998</v>
      </c>
      <c r="E348" s="701" t="s">
        <v>419</v>
      </c>
    </row>
    <row r="349" spans="1:5" x14ac:dyDescent="0.25">
      <c r="A349" s="2" t="s">
        <v>1429</v>
      </c>
      <c r="B349" s="2" t="s">
        <v>1431</v>
      </c>
      <c r="C349" s="2">
        <v>19202101288</v>
      </c>
      <c r="D349" s="2">
        <v>2.5499999999999998</v>
      </c>
      <c r="E349" s="701" t="s">
        <v>419</v>
      </c>
    </row>
    <row r="350" spans="1:5" x14ac:dyDescent="0.25">
      <c r="A350" s="2" t="s">
        <v>1429</v>
      </c>
      <c r="B350" s="2" t="s">
        <v>1431</v>
      </c>
      <c r="C350" s="2">
        <v>19202101312</v>
      </c>
      <c r="D350" s="2">
        <v>2.54</v>
      </c>
      <c r="E350" s="701" t="s">
        <v>419</v>
      </c>
    </row>
    <row r="351" spans="1:5" x14ac:dyDescent="0.25">
      <c r="A351" s="2" t="s">
        <v>1429</v>
      </c>
      <c r="B351" s="2" t="s">
        <v>1431</v>
      </c>
      <c r="C351" s="2">
        <v>19202101268</v>
      </c>
      <c r="D351" s="2">
        <v>2.5099999999999998</v>
      </c>
      <c r="E351" s="701" t="s">
        <v>419</v>
      </c>
    </row>
    <row r="352" spans="1:5" x14ac:dyDescent="0.25">
      <c r="A352" s="2" t="s">
        <v>1429</v>
      </c>
      <c r="B352" s="2" t="s">
        <v>1431</v>
      </c>
      <c r="C352" s="2">
        <v>19202101305</v>
      </c>
      <c r="D352" s="2">
        <v>2.4</v>
      </c>
      <c r="E352" s="701" t="s">
        <v>419</v>
      </c>
    </row>
    <row r="353" spans="1:5" x14ac:dyDescent="0.25">
      <c r="A353" s="2" t="s">
        <v>1429</v>
      </c>
      <c r="B353" s="2" t="s">
        <v>1431</v>
      </c>
      <c r="C353" s="2">
        <v>19202101308</v>
      </c>
      <c r="D353" s="2">
        <v>2.36</v>
      </c>
      <c r="E353" s="701" t="s">
        <v>419</v>
      </c>
    </row>
    <row r="354" spans="1:5" x14ac:dyDescent="0.25">
      <c r="A354" s="2" t="s">
        <v>1429</v>
      </c>
      <c r="B354" s="2" t="s">
        <v>1431</v>
      </c>
      <c r="C354" s="2">
        <v>19202101279</v>
      </c>
      <c r="D354" s="2">
        <v>2.35</v>
      </c>
      <c r="E354" s="701" t="s">
        <v>419</v>
      </c>
    </row>
    <row r="355" spans="1:5" x14ac:dyDescent="0.25">
      <c r="A355" s="2" t="s">
        <v>1429</v>
      </c>
      <c r="B355" s="2" t="s">
        <v>1431</v>
      </c>
      <c r="C355" s="2">
        <v>19202101291</v>
      </c>
      <c r="D355" s="2">
        <v>2.35</v>
      </c>
      <c r="E355" s="701" t="s">
        <v>419</v>
      </c>
    </row>
    <row r="356" spans="1:5" x14ac:dyDescent="0.25">
      <c r="A356" s="2" t="s">
        <v>1429</v>
      </c>
      <c r="B356" s="2" t="s">
        <v>1431</v>
      </c>
      <c r="C356" s="2">
        <v>19202101273</v>
      </c>
      <c r="D356" s="179">
        <v>2.16</v>
      </c>
      <c r="E356" s="701" t="s">
        <v>419</v>
      </c>
    </row>
    <row r="357" spans="1:5" x14ac:dyDescent="0.25">
      <c r="A357" s="2" t="s">
        <v>1429</v>
      </c>
      <c r="B357" s="2" t="s">
        <v>1431</v>
      </c>
      <c r="C357" s="2">
        <v>19202101314</v>
      </c>
      <c r="D357" s="2">
        <v>2.14</v>
      </c>
      <c r="E357" s="701" t="s">
        <v>419</v>
      </c>
    </row>
    <row r="358" spans="1:5" x14ac:dyDescent="0.25">
      <c r="A358" s="2" t="s">
        <v>1429</v>
      </c>
      <c r="B358" s="2" t="s">
        <v>1431</v>
      </c>
      <c r="C358" s="2">
        <v>19202101301</v>
      </c>
      <c r="D358" s="2">
        <v>2.1</v>
      </c>
      <c r="E358" s="701" t="s">
        <v>419</v>
      </c>
    </row>
    <row r="359" spans="1:5" x14ac:dyDescent="0.25">
      <c r="A359" s="2" t="s">
        <v>1429</v>
      </c>
      <c r="B359" s="2" t="s">
        <v>1431</v>
      </c>
      <c r="C359" s="2">
        <v>19202101315</v>
      </c>
      <c r="D359" s="2">
        <v>2.06</v>
      </c>
      <c r="E359" s="701" t="s">
        <v>419</v>
      </c>
    </row>
    <row r="360" spans="1:5" x14ac:dyDescent="0.25">
      <c r="A360" s="2" t="s">
        <v>1429</v>
      </c>
      <c r="B360" s="2" t="s">
        <v>1431</v>
      </c>
      <c r="C360" s="2">
        <v>19202101284</v>
      </c>
      <c r="D360" s="2">
        <v>2.0299999999999998</v>
      </c>
      <c r="E360" s="701" t="s">
        <v>419</v>
      </c>
    </row>
    <row r="361" spans="1:5" x14ac:dyDescent="0.25">
      <c r="A361" s="2" t="s">
        <v>1429</v>
      </c>
      <c r="B361" s="2" t="s">
        <v>1431</v>
      </c>
      <c r="C361" s="2">
        <v>19202101275</v>
      </c>
      <c r="D361" s="2">
        <v>2</v>
      </c>
      <c r="E361" s="830" t="s">
        <v>420</v>
      </c>
    </row>
    <row r="362" spans="1:5" x14ac:dyDescent="0.25">
      <c r="A362" s="2" t="s">
        <v>1429</v>
      </c>
      <c r="B362" s="2" t="s">
        <v>1431</v>
      </c>
      <c r="C362" s="2">
        <v>19202101282</v>
      </c>
      <c r="D362" s="2">
        <v>1.93</v>
      </c>
      <c r="E362" s="830" t="s">
        <v>420</v>
      </c>
    </row>
    <row r="363" spans="1:5" x14ac:dyDescent="0.25">
      <c r="A363" s="2" t="s">
        <v>1429</v>
      </c>
      <c r="B363" s="2" t="s">
        <v>1431</v>
      </c>
      <c r="C363" s="2">
        <v>19202101286</v>
      </c>
      <c r="D363" s="2">
        <v>1.85</v>
      </c>
      <c r="E363" s="830" t="s">
        <v>420</v>
      </c>
    </row>
    <row r="364" spans="1:5" x14ac:dyDescent="0.25">
      <c r="A364" s="2" t="s">
        <v>1429</v>
      </c>
      <c r="B364" s="2" t="s">
        <v>1431</v>
      </c>
      <c r="C364" s="2">
        <v>19202101294</v>
      </c>
      <c r="D364" s="2">
        <v>1.84</v>
      </c>
      <c r="E364" s="830" t="s">
        <v>420</v>
      </c>
    </row>
    <row r="365" spans="1:5" x14ac:dyDescent="0.25">
      <c r="A365" s="2" t="s">
        <v>1429</v>
      </c>
      <c r="B365" s="2" t="s">
        <v>1431</v>
      </c>
      <c r="C365" s="2">
        <v>19202101320</v>
      </c>
      <c r="D365" s="2">
        <v>1.71</v>
      </c>
      <c r="E365" s="830" t="s">
        <v>420</v>
      </c>
    </row>
    <row r="366" spans="1:5" x14ac:dyDescent="0.25">
      <c r="A366" s="2" t="s">
        <v>1429</v>
      </c>
      <c r="B366" s="2" t="s">
        <v>1431</v>
      </c>
      <c r="C366" s="2">
        <v>19202101324</v>
      </c>
      <c r="D366" s="2">
        <v>1.52</v>
      </c>
      <c r="E366" s="830" t="s">
        <v>420</v>
      </c>
    </row>
    <row r="367" spans="1:5" x14ac:dyDescent="0.25">
      <c r="A367" s="2" t="s">
        <v>1429</v>
      </c>
      <c r="B367" s="2" t="s">
        <v>1431</v>
      </c>
      <c r="C367" s="2">
        <v>19202101321</v>
      </c>
      <c r="D367" s="2">
        <v>1.42</v>
      </c>
      <c r="E367" s="830" t="s">
        <v>420</v>
      </c>
    </row>
    <row r="368" spans="1:5" x14ac:dyDescent="0.25">
      <c r="A368" s="2" t="s">
        <v>1429</v>
      </c>
      <c r="B368" s="2" t="s">
        <v>1431</v>
      </c>
      <c r="C368" s="2">
        <v>19202101307</v>
      </c>
      <c r="D368" s="2">
        <v>1.35</v>
      </c>
      <c r="E368" s="683" t="s">
        <v>420</v>
      </c>
    </row>
    <row r="369" spans="1:5" x14ac:dyDescent="0.25">
      <c r="A369" s="2" t="s">
        <v>1429</v>
      </c>
      <c r="B369" s="2" t="s">
        <v>1432</v>
      </c>
      <c r="C369" s="2">
        <v>19202101323</v>
      </c>
      <c r="D369" s="2">
        <v>2.42</v>
      </c>
      <c r="E369" s="701" t="s">
        <v>419</v>
      </c>
    </row>
  </sheetData>
  <mergeCells count="1">
    <mergeCell ref="A1:E1"/>
  </mergeCells>
  <hyperlinks>
    <hyperlink ref="C280" r:id="rId1" location="/router?komponent=taotlus&amp;id=1002934&amp;kuva=ava" display="/router?komponent=taotlus&amp;id=1002934&amp;kuva=ava"/>
    <hyperlink ref="C281" r:id="rId2" location="/router?komponent=taotlus&amp;id=1001942&amp;kuva=ava" display="https://pms.arib.pria.ee/pms-menetlus/ - /router?komponent=taotlus&amp;id=1001942&amp;kuva=ava"/>
    <hyperlink ref="C282" r:id="rId3" location="/router?komponent=taotlus&amp;id=1003095&amp;kuva=ava" display="https://pms.arib.pria.ee/pms-menetlus/ - /router?komponent=taotlus&amp;id=1003095&amp;kuva=ava"/>
    <hyperlink ref="C283" r:id="rId4" location="/router?komponent=taotlus&amp;id=1002675&amp;kuva=ava" display="https://pms.arib.pria.ee/pms-menetlus/ - /router?komponent=taotlus&amp;id=1002675&amp;kuva=ava"/>
    <hyperlink ref="C284" r:id="rId5" location="/router?komponent=taotlus&amp;id=1001956&amp;kuva=ava" display="https://pms.arib.pria.ee/pms-menetlus/ - /router?komponent=taotlus&amp;id=1001956&amp;kuva=ava"/>
    <hyperlink ref="C285" r:id="rId6" location="/router?komponent=taotlus&amp;id=1002486&amp;kuva=ava" display="https://pms.arib.pria.ee/pms-menetlus/ - /router?komponent=taotlus&amp;id=1002486&amp;kuva=ava"/>
    <hyperlink ref="C286" r:id="rId7" location="/router?komponent=taotlus&amp;id=1001765&amp;kuva=ava" display="https://pms.arib.pria.ee/pms-menetlus/ - /router?komponent=taotlus&amp;id=1001765&amp;kuva=ava"/>
    <hyperlink ref="C287" r:id="rId8" location="/router?komponent=taotlus&amp;id=1004685&amp;kuva=ava" display="https://pms.arib.pria.ee/pms-menetlus/ - /router?komponent=taotlus&amp;id=1004685&amp;kuva=ava"/>
    <hyperlink ref="C288" r:id="rId9" location="/router?komponent=taotlus&amp;id=999986&amp;kuva=ava" display="https://pms.arib.pria.ee/pms-menetlus/ - /router?komponent=taotlus&amp;id=999986&amp;kuva=ava"/>
    <hyperlink ref="C289" r:id="rId10" location="/router?komponent=taotlus&amp;id=1003157&amp;kuva=ava" display="https://pms.arib.pria.ee/pms-menetlus/ - /router?komponent=taotlus&amp;id=1003157&amp;kuva=ava"/>
    <hyperlink ref="C290" r:id="rId11" location="/router?komponent=taotlus&amp;id=1007473&amp;kuva=ava" display="https://pms.arib.pria.ee/pms-menetlus/ - /router?komponent=taotlus&amp;id=1007473&amp;kuva=ava"/>
    <hyperlink ref="C291" r:id="rId12" location="/router?komponent=taotlus&amp;id=1002222&amp;kuva=ava" display="https://pms.arib.pria.ee/pms-menetlus/ - /router?komponent=taotlus&amp;id=1002222&amp;kuva=ava"/>
    <hyperlink ref="C292" r:id="rId13" location="/router?komponent=taotlus&amp;id=1002488&amp;kuva=ava" display="https://pms.arib.pria.ee/pms-menetlus/ - /router?komponent=taotlus&amp;id=1002488&amp;kuva=ava"/>
    <hyperlink ref="C293" r:id="rId14" location="/router?komponent=taotlus&amp;id=1005089&amp;kuva=ava" display="https://pms.arib.pria.ee/pms-menetlus/ - /router?komponent=taotlus&amp;id=1005089&amp;kuva=ava"/>
    <hyperlink ref="C294" r:id="rId15" location="/router?komponent=taotlus&amp;id=1001873&amp;kuva=ava" display="https://pms.arib.pria.ee/pms-menetlus/ - /router?komponent=taotlus&amp;id=1001873&amp;kuva=ava"/>
    <hyperlink ref="C295" r:id="rId16" location="/router?komponent=taotlus&amp;id=1002929&amp;kuva=ava" display="https://pms.arib.pria.ee/pms-menetlus/ - /router?komponent=taotlus&amp;id=1002929&amp;kuva=ava"/>
    <hyperlink ref="C296" r:id="rId17" location="/router?komponent=taotlus&amp;id=1002643&amp;kuva=ava" display="https://pms.arib.pria.ee/pms-menetlus/ - /router?komponent=taotlus&amp;id=1002643&amp;kuva=ava"/>
    <hyperlink ref="C297" r:id="rId18" location="/router?komponent=taotlus&amp;id=1002875&amp;kuva=ava" display="https://pms.arib.pria.ee/pms-menetlus/ - /router?komponent=taotlus&amp;id=1002875&amp;kuva=ava"/>
    <hyperlink ref="C298" r:id="rId19" location="/router?komponent=taotlus&amp;id=1003169&amp;kuva=ava" display="https://pms.arib.pria.ee/pms-menetlus/ - /router?komponent=taotlus&amp;id=1003169&amp;kuva=ava"/>
    <hyperlink ref="C299" r:id="rId20" location="/router?komponent=taotlus&amp;id=1003154&amp;kuva=ava" display="https://pms.arib.pria.ee/pms-menetlus/ - /router?komponent=taotlus&amp;id=1003154&amp;kuva=ava"/>
    <hyperlink ref="C300" r:id="rId21" location="/router?komponent=taotlus&amp;id=1004213&amp;kuva=ava" display="https://pms.arib.pria.ee/pms-menetlus/ - /router?komponent=taotlus&amp;id=1004213&amp;kuva=ava"/>
    <hyperlink ref="C301" r:id="rId22" location="/router?komponent=taotlus&amp;id=1007401&amp;kuva=ava" display="https://pms.arib.pria.ee/pms-menetlus/ - /router?komponent=taotlus&amp;id=1007401&amp;kuva=ava"/>
    <hyperlink ref="C302" r:id="rId23" location="/router?komponent=taotlus&amp;id=999736&amp;kuva=ava" display="https://pms.arib.pria.ee/pms-menetlus/ - /router?komponent=taotlus&amp;id=999736&amp;kuva=ava"/>
    <hyperlink ref="C303" r:id="rId24" location="/router?komponent=taotlus&amp;id=1003538&amp;kuva=ava" display="https://pms.arib.pria.ee/pms-menetlus/ - /router?komponent=taotlus&amp;id=1003538&amp;kuva=ava"/>
    <hyperlink ref="C304" r:id="rId25" location="/router?komponent=taotlus&amp;id=1003168&amp;kuva=ava" display="https://pms.arib.pria.ee/pms-menetlus/ - /router?komponent=taotlus&amp;id=1003168&amp;kuva=ava"/>
    <hyperlink ref="C305" r:id="rId26" location="/router?komponent=taotlus&amp;id=999775&amp;kuva=ava" display="https://pms.arib.pria.ee/pms-menetlus/ - /router?komponent=taotlus&amp;id=999775&amp;kuva=ava"/>
    <hyperlink ref="C306" r:id="rId27" location="/router?komponent=taotlus&amp;id=1007349&amp;kuva=ava" display="https://pms.arib.pria.ee/pms-menetlus/ - /router?komponent=taotlus&amp;id=1007349&amp;kuva=ava"/>
    <hyperlink ref="C307" r:id="rId28" location="/router?komponent=taotlus&amp;id=1000349&amp;kuva=ava" display="https://pms.arib.pria.ee/pms-menetlus/ - /router?komponent=taotlus&amp;id=1000349&amp;kuva=ava"/>
    <hyperlink ref="C309" r:id="rId29" location="/router?komponent=taotlus&amp;id=1003229&amp;kuva=ava" display="https://pms.arib.pria.ee/pms-menetlus/ - /router?komponent=taotlus&amp;id=1003229&amp;kuva=ava"/>
    <hyperlink ref="C308" r:id="rId30" location="/router?komponent=taotlus&amp;id=1002665&amp;kuva=ava" display="https://pms.arib.pria.ee/pms-menetlus/ - /router?komponent=taotlus&amp;id=1002665&amp;kuva=ava"/>
    <hyperlink ref="C310" r:id="rId31" location="/router?komponent=taotlus&amp;id=1003308&amp;kuva=ava" display="https://pms.arib.pria.ee/pms-menetlus/ - /router?komponent=taotlus&amp;id=1003308&amp;kuva=ava"/>
    <hyperlink ref="C311" r:id="rId32" location="/router?komponent=taotlus&amp;id=1002271&amp;kuva=ava" display="https://pms.arib.pria.ee/pms-menetlus/ - /router?komponent=taotlus&amp;id=1002271&amp;kuva=ava"/>
    <hyperlink ref="C312" r:id="rId33" location="/router?komponent=taotlus&amp;id=1003343&amp;kuva=ava" display="https://pms.arib.pria.ee/pms-menetlus/ - /router?komponent=taotlus&amp;id=1003343&amp;kuva=ava"/>
    <hyperlink ref="C313" r:id="rId34" location="/router?komponent=taotlus&amp;id=1002651&amp;kuva=ava" display="https://pms.arib.pria.ee/pms-menetlus/ - /router?komponent=taotlus&amp;id=1002651&amp;kuva=ava"/>
    <hyperlink ref="C314" r:id="rId35" location="/router?komponent=taotlus&amp;id=1007400&amp;kuva=ava" display="https://pms.arib.pria.ee/pms-menetlus/ - /router?komponent=taotlus&amp;id=1007400&amp;kuva=ava"/>
  </hyperlinks>
  <pageMargins left="0.7" right="0.7" top="0.75" bottom="0.75" header="0.3" footer="0.3"/>
  <pageSetup paperSize="9" orientation="portrait" r:id="rId3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workbookViewId="0">
      <pane ySplit="2" topLeftCell="A147" activePane="bottomLeft" state="frozen"/>
      <selection pane="bottomLeft" activeCell="I162" sqref="I162"/>
    </sheetView>
  </sheetViews>
  <sheetFormatPr defaultRowHeight="15" x14ac:dyDescent="0.25"/>
  <cols>
    <col min="1" max="1" width="21.140625" bestFit="1" customWidth="1"/>
    <col min="2" max="2" width="43.85546875" customWidth="1"/>
    <col min="3" max="3" width="21.140625" customWidth="1"/>
    <col min="4" max="4" width="17.140625" customWidth="1"/>
    <col min="5" max="5" width="18.42578125" customWidth="1"/>
  </cols>
  <sheetData>
    <row r="1" spans="1:5" ht="15.75" x14ac:dyDescent="0.25">
      <c r="A1" s="847" t="s">
        <v>25</v>
      </c>
      <c r="B1" s="848"/>
      <c r="C1" s="848"/>
      <c r="D1" s="848"/>
      <c r="E1" s="849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244</v>
      </c>
      <c r="B3" s="104" t="s">
        <v>245</v>
      </c>
      <c r="C3" s="48" t="s">
        <v>246</v>
      </c>
      <c r="D3" s="89">
        <v>3.4860000000000002</v>
      </c>
      <c r="E3" s="39" t="s">
        <v>419</v>
      </c>
    </row>
    <row r="4" spans="1:5" x14ac:dyDescent="0.25">
      <c r="A4" s="60" t="s">
        <v>244</v>
      </c>
      <c r="B4" s="103" t="s">
        <v>245</v>
      </c>
      <c r="C4" s="5" t="s">
        <v>247</v>
      </c>
      <c r="D4" s="8">
        <v>3.343</v>
      </c>
      <c r="E4" s="41" t="s">
        <v>419</v>
      </c>
    </row>
    <row r="5" spans="1:5" x14ac:dyDescent="0.25">
      <c r="A5" s="60" t="s">
        <v>244</v>
      </c>
      <c r="B5" s="103" t="s">
        <v>245</v>
      </c>
      <c r="C5" s="5" t="s">
        <v>248</v>
      </c>
      <c r="D5" s="8">
        <v>3.3290000000000002</v>
      </c>
      <c r="E5" s="41" t="s">
        <v>419</v>
      </c>
    </row>
    <row r="6" spans="1:5" x14ac:dyDescent="0.25">
      <c r="A6" s="60" t="s">
        <v>244</v>
      </c>
      <c r="B6" s="103" t="s">
        <v>245</v>
      </c>
      <c r="C6" s="5" t="s">
        <v>249</v>
      </c>
      <c r="D6" s="8">
        <v>3.1859999999999999</v>
      </c>
      <c r="E6" s="41" t="s">
        <v>419</v>
      </c>
    </row>
    <row r="7" spans="1:5" x14ac:dyDescent="0.25">
      <c r="A7" s="60" t="s">
        <v>244</v>
      </c>
      <c r="B7" s="103" t="s">
        <v>245</v>
      </c>
      <c r="C7" s="5" t="s">
        <v>250</v>
      </c>
      <c r="D7" s="8">
        <v>2.714</v>
      </c>
      <c r="E7" s="41" t="s">
        <v>419</v>
      </c>
    </row>
    <row r="8" spans="1:5" x14ac:dyDescent="0.25">
      <c r="A8" s="60" t="s">
        <v>244</v>
      </c>
      <c r="B8" s="103" t="s">
        <v>245</v>
      </c>
      <c r="C8" s="5" t="s">
        <v>251</v>
      </c>
      <c r="D8" s="8">
        <v>2.5859999999999999</v>
      </c>
      <c r="E8" s="41" t="s">
        <v>419</v>
      </c>
    </row>
    <row r="9" spans="1:5" x14ac:dyDescent="0.25">
      <c r="A9" s="60" t="s">
        <v>244</v>
      </c>
      <c r="B9" s="103" t="s">
        <v>245</v>
      </c>
      <c r="C9" s="5" t="s">
        <v>252</v>
      </c>
      <c r="D9" s="8">
        <v>2.5289999999999999</v>
      </c>
      <c r="E9" s="41" t="s">
        <v>419</v>
      </c>
    </row>
    <row r="10" spans="1:5" x14ac:dyDescent="0.25">
      <c r="A10" s="60" t="s">
        <v>244</v>
      </c>
      <c r="B10" s="103" t="s">
        <v>245</v>
      </c>
      <c r="C10" s="5" t="s">
        <v>253</v>
      </c>
      <c r="D10" s="8">
        <v>2.5139999999999998</v>
      </c>
      <c r="E10" s="41" t="s">
        <v>419</v>
      </c>
    </row>
    <row r="11" spans="1:5" x14ac:dyDescent="0.25">
      <c r="A11" s="60" t="s">
        <v>244</v>
      </c>
      <c r="B11" s="103" t="s">
        <v>245</v>
      </c>
      <c r="C11" s="5" t="s">
        <v>254</v>
      </c>
      <c r="D11" s="8">
        <v>2.5</v>
      </c>
      <c r="E11" s="41" t="s">
        <v>419</v>
      </c>
    </row>
    <row r="12" spans="1:5" x14ac:dyDescent="0.25">
      <c r="A12" s="60" t="s">
        <v>244</v>
      </c>
      <c r="B12" s="103" t="s">
        <v>245</v>
      </c>
      <c r="C12" s="5" t="s">
        <v>257</v>
      </c>
      <c r="D12" s="8">
        <v>2.286</v>
      </c>
      <c r="E12" s="66" t="s">
        <v>420</v>
      </c>
    </row>
    <row r="13" spans="1:5" x14ac:dyDescent="0.25">
      <c r="A13" s="60" t="s">
        <v>244</v>
      </c>
      <c r="B13" s="103" t="s">
        <v>245</v>
      </c>
      <c r="C13" s="5" t="s">
        <v>255</v>
      </c>
      <c r="D13" s="8">
        <v>2.2000000000000002</v>
      </c>
      <c r="E13" s="66" t="s">
        <v>420</v>
      </c>
    </row>
    <row r="14" spans="1:5" ht="15.75" thickBot="1" x14ac:dyDescent="0.3">
      <c r="A14" s="61" t="s">
        <v>244</v>
      </c>
      <c r="B14" s="105" t="s">
        <v>245</v>
      </c>
      <c r="C14" s="44" t="s">
        <v>256</v>
      </c>
      <c r="D14" s="90">
        <v>1.6</v>
      </c>
      <c r="E14" s="46" t="s">
        <v>420</v>
      </c>
    </row>
    <row r="15" spans="1:5" x14ac:dyDescent="0.25">
      <c r="A15" s="58" t="s">
        <v>244</v>
      </c>
      <c r="B15" s="99" t="s">
        <v>258</v>
      </c>
      <c r="C15" s="48" t="str">
        <f>"619216370478"</f>
        <v>619216370478</v>
      </c>
      <c r="D15" s="49">
        <v>3.2429999999999999</v>
      </c>
      <c r="E15" s="39" t="s">
        <v>419</v>
      </c>
    </row>
    <row r="16" spans="1:5" x14ac:dyDescent="0.25">
      <c r="A16" s="60" t="s">
        <v>244</v>
      </c>
      <c r="B16" s="29" t="s">
        <v>258</v>
      </c>
      <c r="C16" s="5" t="str">
        <f>"619216370479"</f>
        <v>619216370479</v>
      </c>
      <c r="D16" s="2">
        <v>2.871</v>
      </c>
      <c r="E16" s="41" t="s">
        <v>419</v>
      </c>
    </row>
    <row r="17" spans="1:5" ht="15.75" thickBot="1" x14ac:dyDescent="0.3">
      <c r="A17" s="61" t="s">
        <v>244</v>
      </c>
      <c r="B17" s="100" t="s">
        <v>258</v>
      </c>
      <c r="C17" s="44" t="str">
        <f>"619216370480"</f>
        <v>619216370480</v>
      </c>
      <c r="D17" s="51">
        <v>2.6139999999999999</v>
      </c>
      <c r="E17" s="87" t="s">
        <v>419</v>
      </c>
    </row>
    <row r="18" spans="1:5" x14ac:dyDescent="0.25">
      <c r="A18" s="58" t="s">
        <v>244</v>
      </c>
      <c r="B18" s="99" t="s">
        <v>259</v>
      </c>
      <c r="C18" s="48" t="s">
        <v>260</v>
      </c>
      <c r="D18" s="89">
        <v>3.3290000000000002</v>
      </c>
      <c r="E18" s="39" t="s">
        <v>419</v>
      </c>
    </row>
    <row r="19" spans="1:5" x14ac:dyDescent="0.25">
      <c r="A19" s="60" t="s">
        <v>244</v>
      </c>
      <c r="B19" s="29" t="s">
        <v>259</v>
      </c>
      <c r="C19" s="5" t="s">
        <v>261</v>
      </c>
      <c r="D19" s="8">
        <v>3.3140000000000001</v>
      </c>
      <c r="E19" s="41" t="s">
        <v>419</v>
      </c>
    </row>
    <row r="20" spans="1:5" x14ac:dyDescent="0.25">
      <c r="A20" s="60" t="s">
        <v>244</v>
      </c>
      <c r="B20" s="29" t="s">
        <v>259</v>
      </c>
      <c r="C20" s="5" t="s">
        <v>262</v>
      </c>
      <c r="D20" s="8">
        <v>3.3</v>
      </c>
      <c r="E20" s="41" t="s">
        <v>419</v>
      </c>
    </row>
    <row r="21" spans="1:5" x14ac:dyDescent="0.25">
      <c r="A21" s="60" t="s">
        <v>244</v>
      </c>
      <c r="B21" s="29" t="s">
        <v>259</v>
      </c>
      <c r="C21" s="5" t="s">
        <v>263</v>
      </c>
      <c r="D21" s="8">
        <v>3.2429999999999999</v>
      </c>
      <c r="E21" s="41" t="s">
        <v>419</v>
      </c>
    </row>
    <row r="22" spans="1:5" x14ac:dyDescent="0.25">
      <c r="A22" s="60" t="s">
        <v>244</v>
      </c>
      <c r="B22" s="29" t="s">
        <v>259</v>
      </c>
      <c r="C22" s="5" t="s">
        <v>264</v>
      </c>
      <c r="D22" s="8">
        <v>3.157</v>
      </c>
      <c r="E22" s="41" t="s">
        <v>419</v>
      </c>
    </row>
    <row r="23" spans="1:5" x14ac:dyDescent="0.25">
      <c r="A23" s="60" t="s">
        <v>244</v>
      </c>
      <c r="B23" s="29" t="s">
        <v>259</v>
      </c>
      <c r="C23" s="5" t="s">
        <v>265</v>
      </c>
      <c r="D23" s="8">
        <v>3.157</v>
      </c>
      <c r="E23" s="41" t="s">
        <v>419</v>
      </c>
    </row>
    <row r="24" spans="1:5" x14ac:dyDescent="0.25">
      <c r="A24" s="60" t="s">
        <v>244</v>
      </c>
      <c r="B24" s="29" t="s">
        <v>259</v>
      </c>
      <c r="C24" s="5" t="s">
        <v>270</v>
      </c>
      <c r="D24" s="8">
        <v>3.129</v>
      </c>
      <c r="E24" s="66" t="s">
        <v>420</v>
      </c>
    </row>
    <row r="25" spans="1:5" x14ac:dyDescent="0.25">
      <c r="A25" s="60" t="s">
        <v>244</v>
      </c>
      <c r="B25" s="29" t="s">
        <v>259</v>
      </c>
      <c r="C25" s="5" t="s">
        <v>271</v>
      </c>
      <c r="D25" s="8">
        <v>3.129</v>
      </c>
      <c r="E25" s="66" t="s">
        <v>420</v>
      </c>
    </row>
    <row r="26" spans="1:5" x14ac:dyDescent="0.25">
      <c r="A26" s="60" t="s">
        <v>244</v>
      </c>
      <c r="B26" s="29" t="s">
        <v>259</v>
      </c>
      <c r="C26" s="5" t="s">
        <v>272</v>
      </c>
      <c r="D26" s="8">
        <v>2.8290000000000002</v>
      </c>
      <c r="E26" s="66" t="s">
        <v>420</v>
      </c>
    </row>
    <row r="27" spans="1:5" x14ac:dyDescent="0.25">
      <c r="A27" s="60" t="s">
        <v>244</v>
      </c>
      <c r="B27" s="29" t="s">
        <v>259</v>
      </c>
      <c r="C27" s="5" t="s">
        <v>269</v>
      </c>
      <c r="D27" s="8">
        <v>2.4</v>
      </c>
      <c r="E27" s="66" t="s">
        <v>420</v>
      </c>
    </row>
    <row r="28" spans="1:5" x14ac:dyDescent="0.25">
      <c r="A28" s="60" t="s">
        <v>244</v>
      </c>
      <c r="B28" s="29" t="s">
        <v>259</v>
      </c>
      <c r="C28" s="5" t="s">
        <v>268</v>
      </c>
      <c r="D28" s="8">
        <v>2.371</v>
      </c>
      <c r="E28" s="66" t="s">
        <v>420</v>
      </c>
    </row>
    <row r="29" spans="1:5" x14ac:dyDescent="0.25">
      <c r="A29" s="60" t="s">
        <v>244</v>
      </c>
      <c r="B29" s="29" t="s">
        <v>259</v>
      </c>
      <c r="C29" s="5" t="s">
        <v>267</v>
      </c>
      <c r="D29" s="8">
        <v>2.2709999999999999</v>
      </c>
      <c r="E29" s="66" t="s">
        <v>420</v>
      </c>
    </row>
    <row r="30" spans="1:5" ht="15.75" thickBot="1" x14ac:dyDescent="0.3">
      <c r="A30" s="61" t="s">
        <v>244</v>
      </c>
      <c r="B30" s="100" t="s">
        <v>259</v>
      </c>
      <c r="C30" s="44" t="s">
        <v>266</v>
      </c>
      <c r="D30" s="90">
        <v>1.7290000000000001</v>
      </c>
      <c r="E30" s="46" t="s">
        <v>420</v>
      </c>
    </row>
    <row r="31" spans="1:5" x14ac:dyDescent="0.25">
      <c r="A31" s="184" t="s">
        <v>710</v>
      </c>
      <c r="B31" s="380" t="s">
        <v>245</v>
      </c>
      <c r="C31" s="185" t="s">
        <v>711</v>
      </c>
      <c r="D31" s="382">
        <v>3.33</v>
      </c>
      <c r="E31" s="381" t="s">
        <v>419</v>
      </c>
    </row>
    <row r="32" spans="1:5" x14ac:dyDescent="0.25">
      <c r="A32" s="182" t="s">
        <v>710</v>
      </c>
      <c r="B32" s="102" t="s">
        <v>245</v>
      </c>
      <c r="C32" s="5" t="s">
        <v>712</v>
      </c>
      <c r="D32" s="8">
        <v>3.16</v>
      </c>
      <c r="E32" s="379" t="s">
        <v>419</v>
      </c>
    </row>
    <row r="33" spans="1:5" x14ac:dyDescent="0.25">
      <c r="A33" s="182" t="s">
        <v>710</v>
      </c>
      <c r="B33" s="102" t="s">
        <v>245</v>
      </c>
      <c r="C33" s="5" t="s">
        <v>713</v>
      </c>
      <c r="D33" s="8">
        <v>3.01</v>
      </c>
      <c r="E33" s="379" t="s">
        <v>419</v>
      </c>
    </row>
    <row r="34" spans="1:5" x14ac:dyDescent="0.25">
      <c r="A34" s="182" t="s">
        <v>710</v>
      </c>
      <c r="B34" s="102" t="s">
        <v>245</v>
      </c>
      <c r="C34" s="5" t="s">
        <v>714</v>
      </c>
      <c r="D34" s="8">
        <v>2.99</v>
      </c>
      <c r="E34" s="379" t="s">
        <v>419</v>
      </c>
    </row>
    <row r="35" spans="1:5" x14ac:dyDescent="0.25">
      <c r="A35" s="182" t="s">
        <v>710</v>
      </c>
      <c r="B35" s="102" t="s">
        <v>245</v>
      </c>
      <c r="C35" s="5" t="s">
        <v>715</v>
      </c>
      <c r="D35" s="8">
        <v>2.92</v>
      </c>
      <c r="E35" s="379" t="s">
        <v>419</v>
      </c>
    </row>
    <row r="36" spans="1:5" x14ac:dyDescent="0.25">
      <c r="A36" s="182" t="s">
        <v>710</v>
      </c>
      <c r="B36" s="102" t="s">
        <v>245</v>
      </c>
      <c r="C36" s="5" t="s">
        <v>716</v>
      </c>
      <c r="D36" s="8">
        <v>2.91</v>
      </c>
      <c r="E36" s="379" t="s">
        <v>419</v>
      </c>
    </row>
    <row r="37" spans="1:5" x14ac:dyDescent="0.25">
      <c r="A37" s="182" t="s">
        <v>710</v>
      </c>
      <c r="B37" s="102" t="s">
        <v>245</v>
      </c>
      <c r="C37" s="5" t="s">
        <v>717</v>
      </c>
      <c r="D37" s="8">
        <v>2.77</v>
      </c>
      <c r="E37" s="379" t="s">
        <v>419</v>
      </c>
    </row>
    <row r="38" spans="1:5" x14ac:dyDescent="0.25">
      <c r="A38" s="182" t="s">
        <v>710</v>
      </c>
      <c r="B38" s="102" t="s">
        <v>245</v>
      </c>
      <c r="C38" s="5" t="s">
        <v>718</v>
      </c>
      <c r="D38" s="8">
        <v>2.73</v>
      </c>
      <c r="E38" s="379" t="s">
        <v>419</v>
      </c>
    </row>
    <row r="39" spans="1:5" x14ac:dyDescent="0.25">
      <c r="A39" s="182" t="s">
        <v>710</v>
      </c>
      <c r="B39" s="102" t="s">
        <v>245</v>
      </c>
      <c r="C39" s="5" t="s">
        <v>719</v>
      </c>
      <c r="D39" s="8">
        <v>2.6</v>
      </c>
      <c r="E39" s="379" t="s">
        <v>419</v>
      </c>
    </row>
    <row r="40" spans="1:5" x14ac:dyDescent="0.25">
      <c r="A40" s="182" t="s">
        <v>710</v>
      </c>
      <c r="B40" s="102" t="s">
        <v>245</v>
      </c>
      <c r="C40" s="5" t="s">
        <v>720</v>
      </c>
      <c r="D40" s="8">
        <v>2.36</v>
      </c>
      <c r="E40" s="226" t="s">
        <v>420</v>
      </c>
    </row>
    <row r="41" spans="1:5" x14ac:dyDescent="0.25">
      <c r="A41" s="182" t="s">
        <v>710</v>
      </c>
      <c r="B41" s="102" t="s">
        <v>245</v>
      </c>
      <c r="C41" s="5" t="s">
        <v>721</v>
      </c>
      <c r="D41" s="8">
        <v>2.19</v>
      </c>
      <c r="E41" s="226" t="s">
        <v>420</v>
      </c>
    </row>
    <row r="42" spans="1:5" x14ac:dyDescent="0.25">
      <c r="A42" s="182" t="s">
        <v>710</v>
      </c>
      <c r="B42" s="102" t="s">
        <v>245</v>
      </c>
      <c r="C42" s="5" t="s">
        <v>722</v>
      </c>
      <c r="D42" s="8">
        <v>2.08</v>
      </c>
      <c r="E42" s="226" t="s">
        <v>420</v>
      </c>
    </row>
    <row r="43" spans="1:5" x14ac:dyDescent="0.25">
      <c r="A43" s="182" t="s">
        <v>710</v>
      </c>
      <c r="B43" s="102" t="s">
        <v>245</v>
      </c>
      <c r="C43" s="5" t="s">
        <v>723</v>
      </c>
      <c r="D43" s="8">
        <v>1.3</v>
      </c>
      <c r="E43" s="226" t="s">
        <v>420</v>
      </c>
    </row>
    <row r="44" spans="1:5" x14ac:dyDescent="0.25">
      <c r="A44" s="182" t="s">
        <v>710</v>
      </c>
      <c r="B44" s="102" t="s">
        <v>258</v>
      </c>
      <c r="C44" s="5" t="s">
        <v>724</v>
      </c>
      <c r="D44" s="8">
        <v>3.34</v>
      </c>
      <c r="E44" s="379" t="s">
        <v>419</v>
      </c>
    </row>
    <row r="45" spans="1:5" x14ac:dyDescent="0.25">
      <c r="A45" s="182" t="s">
        <v>710</v>
      </c>
      <c r="B45" s="102" t="s">
        <v>258</v>
      </c>
      <c r="C45" s="5" t="s">
        <v>725</v>
      </c>
      <c r="D45" s="8">
        <v>2.8</v>
      </c>
      <c r="E45" s="379" t="s">
        <v>419</v>
      </c>
    </row>
    <row r="46" spans="1:5" x14ac:dyDescent="0.25">
      <c r="A46" s="182" t="s">
        <v>710</v>
      </c>
      <c r="B46" s="102" t="s">
        <v>258</v>
      </c>
      <c r="C46" s="5" t="s">
        <v>726</v>
      </c>
      <c r="D46" s="8">
        <v>2.5</v>
      </c>
      <c r="E46" s="379" t="s">
        <v>419</v>
      </c>
    </row>
    <row r="47" spans="1:5" x14ac:dyDescent="0.25">
      <c r="A47" s="182" t="s">
        <v>710</v>
      </c>
      <c r="B47" s="102" t="s">
        <v>259</v>
      </c>
      <c r="C47" s="5" t="s">
        <v>727</v>
      </c>
      <c r="D47" s="8">
        <v>3.43</v>
      </c>
      <c r="E47" s="379" t="s">
        <v>419</v>
      </c>
    </row>
    <row r="48" spans="1:5" x14ac:dyDescent="0.25">
      <c r="A48" s="182" t="s">
        <v>710</v>
      </c>
      <c r="B48" s="102" t="s">
        <v>259</v>
      </c>
      <c r="C48" s="5" t="s">
        <v>728</v>
      </c>
      <c r="D48" s="8">
        <v>3.37</v>
      </c>
      <c r="E48" s="379" t="s">
        <v>419</v>
      </c>
    </row>
    <row r="49" spans="1:5" x14ac:dyDescent="0.25">
      <c r="A49" s="182" t="s">
        <v>710</v>
      </c>
      <c r="B49" s="102" t="s">
        <v>259</v>
      </c>
      <c r="C49" s="5" t="s">
        <v>729</v>
      </c>
      <c r="D49" s="8">
        <v>3.19</v>
      </c>
      <c r="E49" s="379" t="s">
        <v>419</v>
      </c>
    </row>
    <row r="50" spans="1:5" x14ac:dyDescent="0.25">
      <c r="A50" s="182" t="s">
        <v>710</v>
      </c>
      <c r="B50" s="102" t="s">
        <v>259</v>
      </c>
      <c r="C50" s="5" t="s">
        <v>730</v>
      </c>
      <c r="D50" s="8">
        <v>3.1</v>
      </c>
      <c r="E50" s="379" t="s">
        <v>419</v>
      </c>
    </row>
    <row r="51" spans="1:5" x14ac:dyDescent="0.25">
      <c r="A51" s="182" t="s">
        <v>710</v>
      </c>
      <c r="B51" s="102" t="s">
        <v>259</v>
      </c>
      <c r="C51" s="5" t="s">
        <v>731</v>
      </c>
      <c r="D51" s="8">
        <v>3.09</v>
      </c>
      <c r="E51" s="379" t="s">
        <v>419</v>
      </c>
    </row>
    <row r="52" spans="1:5" x14ac:dyDescent="0.25">
      <c r="A52" s="182" t="s">
        <v>710</v>
      </c>
      <c r="B52" s="102" t="s">
        <v>259</v>
      </c>
      <c r="C52" s="5" t="s">
        <v>732</v>
      </c>
      <c r="D52" s="8">
        <v>2.97</v>
      </c>
      <c r="E52" s="379" t="s">
        <v>419</v>
      </c>
    </row>
    <row r="53" spans="1:5" x14ac:dyDescent="0.25">
      <c r="A53" s="182" t="s">
        <v>710</v>
      </c>
      <c r="B53" s="102" t="s">
        <v>259</v>
      </c>
      <c r="C53" s="5" t="s">
        <v>733</v>
      </c>
      <c r="D53" s="8">
        <v>2.84</v>
      </c>
      <c r="E53" s="379" t="s">
        <v>419</v>
      </c>
    </row>
    <row r="54" spans="1:5" x14ac:dyDescent="0.25">
      <c r="A54" s="182" t="s">
        <v>710</v>
      </c>
      <c r="B54" s="102" t="s">
        <v>259</v>
      </c>
      <c r="C54" s="5" t="s">
        <v>734</v>
      </c>
      <c r="D54" s="8">
        <v>2.56</v>
      </c>
      <c r="E54" s="379" t="s">
        <v>419</v>
      </c>
    </row>
    <row r="55" spans="1:5" x14ac:dyDescent="0.25">
      <c r="A55" s="182" t="s">
        <v>710</v>
      </c>
      <c r="B55" s="102" t="s">
        <v>259</v>
      </c>
      <c r="C55" s="5" t="s">
        <v>735</v>
      </c>
      <c r="D55" s="8">
        <v>2</v>
      </c>
      <c r="E55" s="226" t="s">
        <v>420</v>
      </c>
    </row>
    <row r="56" spans="1:5" x14ac:dyDescent="0.25">
      <c r="A56" s="182" t="s">
        <v>1120</v>
      </c>
      <c r="B56" s="102" t="s">
        <v>245</v>
      </c>
      <c r="C56" s="2">
        <v>19201800661</v>
      </c>
      <c r="D56" s="2">
        <v>3.13</v>
      </c>
      <c r="E56" s="379" t="s">
        <v>419</v>
      </c>
    </row>
    <row r="57" spans="1:5" x14ac:dyDescent="0.25">
      <c r="A57" s="371" t="s">
        <v>1120</v>
      </c>
      <c r="B57" s="102" t="s">
        <v>245</v>
      </c>
      <c r="C57" s="2">
        <v>19201800653</v>
      </c>
      <c r="D57" s="2">
        <v>2.99</v>
      </c>
      <c r="E57" s="379" t="s">
        <v>419</v>
      </c>
    </row>
    <row r="58" spans="1:5" x14ac:dyDescent="0.25">
      <c r="A58" s="371" t="s">
        <v>1120</v>
      </c>
      <c r="B58" s="102" t="s">
        <v>245</v>
      </c>
      <c r="C58" s="2">
        <v>19201800662</v>
      </c>
      <c r="D58" s="2">
        <v>2.7</v>
      </c>
      <c r="E58" s="379" t="s">
        <v>419</v>
      </c>
    </row>
    <row r="59" spans="1:5" x14ac:dyDescent="0.25">
      <c r="A59" s="371" t="s">
        <v>1120</v>
      </c>
      <c r="B59" s="102" t="s">
        <v>245</v>
      </c>
      <c r="C59" s="2">
        <v>19201800658</v>
      </c>
      <c r="D59" s="2">
        <v>2.69</v>
      </c>
      <c r="E59" s="379" t="s">
        <v>419</v>
      </c>
    </row>
    <row r="60" spans="1:5" x14ac:dyDescent="0.25">
      <c r="A60" s="371" t="s">
        <v>1120</v>
      </c>
      <c r="B60" s="102" t="s">
        <v>245</v>
      </c>
      <c r="C60" s="2">
        <v>19201800647</v>
      </c>
      <c r="D60" s="2">
        <v>2.52</v>
      </c>
      <c r="E60" s="379" t="s">
        <v>419</v>
      </c>
    </row>
    <row r="61" spans="1:5" x14ac:dyDescent="0.25">
      <c r="A61" s="371" t="s">
        <v>1120</v>
      </c>
      <c r="B61" s="102" t="s">
        <v>245</v>
      </c>
      <c r="C61" s="2">
        <v>19201800670</v>
      </c>
      <c r="D61" s="2">
        <v>2.2000000000000002</v>
      </c>
      <c r="E61" s="226" t="s">
        <v>420</v>
      </c>
    </row>
    <row r="62" spans="1:5" x14ac:dyDescent="0.25">
      <c r="A62" s="371" t="s">
        <v>1120</v>
      </c>
      <c r="B62" s="102" t="s">
        <v>245</v>
      </c>
      <c r="C62" s="2">
        <v>19201800655</v>
      </c>
      <c r="D62" s="2">
        <v>2.1800000000000002</v>
      </c>
      <c r="E62" s="226" t="s">
        <v>420</v>
      </c>
    </row>
    <row r="63" spans="1:5" x14ac:dyDescent="0.25">
      <c r="A63" s="371" t="s">
        <v>1120</v>
      </c>
      <c r="B63" s="102" t="s">
        <v>245</v>
      </c>
      <c r="C63" s="2">
        <v>19201800660</v>
      </c>
      <c r="D63" s="2">
        <v>2.1</v>
      </c>
      <c r="E63" s="226" t="s">
        <v>420</v>
      </c>
    </row>
    <row r="64" spans="1:5" x14ac:dyDescent="0.25">
      <c r="A64" s="371" t="s">
        <v>1120</v>
      </c>
      <c r="B64" s="102" t="s">
        <v>245</v>
      </c>
      <c r="C64" s="2">
        <v>19201800668</v>
      </c>
      <c r="D64" s="2">
        <v>2.06</v>
      </c>
      <c r="E64" s="226" t="s">
        <v>420</v>
      </c>
    </row>
    <row r="65" spans="1:5" x14ac:dyDescent="0.25">
      <c r="A65" s="371" t="s">
        <v>1120</v>
      </c>
      <c r="B65" s="102" t="s">
        <v>245</v>
      </c>
      <c r="C65" s="2">
        <v>19201800646</v>
      </c>
      <c r="D65" s="2">
        <v>2.0499999999999998</v>
      </c>
      <c r="E65" s="226" t="s">
        <v>420</v>
      </c>
    </row>
    <row r="66" spans="1:5" x14ac:dyDescent="0.25">
      <c r="A66" s="371" t="s">
        <v>1120</v>
      </c>
      <c r="B66" s="102" t="s">
        <v>245</v>
      </c>
      <c r="C66" s="2">
        <v>19201800664</v>
      </c>
      <c r="D66" s="2">
        <v>1.99</v>
      </c>
      <c r="E66" s="226" t="s">
        <v>420</v>
      </c>
    </row>
    <row r="67" spans="1:5" x14ac:dyDescent="0.25">
      <c r="A67" s="371" t="s">
        <v>1120</v>
      </c>
      <c r="B67" s="102" t="s">
        <v>258</v>
      </c>
      <c r="C67" s="2">
        <v>19201800671</v>
      </c>
      <c r="D67" s="2">
        <v>2.93</v>
      </c>
      <c r="E67" s="379" t="s">
        <v>419</v>
      </c>
    </row>
    <row r="68" spans="1:5" x14ac:dyDescent="0.25">
      <c r="A68" s="371" t="s">
        <v>1120</v>
      </c>
      <c r="B68" s="102" t="s">
        <v>258</v>
      </c>
      <c r="C68" s="2">
        <v>19201800654</v>
      </c>
      <c r="D68" s="2">
        <v>2.89</v>
      </c>
      <c r="E68" s="379" t="s">
        <v>419</v>
      </c>
    </row>
    <row r="69" spans="1:5" x14ac:dyDescent="0.25">
      <c r="A69" s="371" t="s">
        <v>1120</v>
      </c>
      <c r="B69" s="102" t="s">
        <v>258</v>
      </c>
      <c r="C69" s="2">
        <v>19201800667</v>
      </c>
      <c r="D69" s="2">
        <v>2.5499999999999998</v>
      </c>
      <c r="E69" s="379" t="s">
        <v>419</v>
      </c>
    </row>
    <row r="70" spans="1:5" x14ac:dyDescent="0.25">
      <c r="A70" s="371" t="s">
        <v>1120</v>
      </c>
      <c r="B70" s="102" t="s">
        <v>259</v>
      </c>
      <c r="C70" s="2">
        <v>19201800652</v>
      </c>
      <c r="D70" s="2">
        <v>3.3</v>
      </c>
      <c r="E70" s="379" t="s">
        <v>419</v>
      </c>
    </row>
    <row r="71" spans="1:5" x14ac:dyDescent="0.25">
      <c r="A71" s="371" t="s">
        <v>1120</v>
      </c>
      <c r="B71" s="102" t="s">
        <v>259</v>
      </c>
      <c r="C71" s="2">
        <v>19201800643</v>
      </c>
      <c r="D71" s="2">
        <v>3.25</v>
      </c>
      <c r="E71" s="379" t="s">
        <v>419</v>
      </c>
    </row>
    <row r="72" spans="1:5" x14ac:dyDescent="0.25">
      <c r="A72" s="371" t="s">
        <v>1120</v>
      </c>
      <c r="B72" s="102" t="s">
        <v>259</v>
      </c>
      <c r="C72" s="2">
        <v>19201800650</v>
      </c>
      <c r="D72" s="2">
        <v>3.2</v>
      </c>
      <c r="E72" s="379" t="s">
        <v>419</v>
      </c>
    </row>
    <row r="73" spans="1:5" x14ac:dyDescent="0.25">
      <c r="A73" s="371" t="s">
        <v>1120</v>
      </c>
      <c r="B73" s="102" t="s">
        <v>259</v>
      </c>
      <c r="C73" s="2">
        <v>19201800648</v>
      </c>
      <c r="D73" s="2">
        <v>3.15</v>
      </c>
      <c r="E73" s="379" t="s">
        <v>419</v>
      </c>
    </row>
    <row r="74" spans="1:5" x14ac:dyDescent="0.25">
      <c r="A74" s="371" t="s">
        <v>1120</v>
      </c>
      <c r="B74" s="102" t="s">
        <v>259</v>
      </c>
      <c r="C74" s="2">
        <v>19201800674</v>
      </c>
      <c r="D74" s="2">
        <v>3.15</v>
      </c>
      <c r="E74" s="379" t="s">
        <v>419</v>
      </c>
    </row>
    <row r="75" spans="1:5" x14ac:dyDescent="0.25">
      <c r="A75" s="371" t="s">
        <v>1120</v>
      </c>
      <c r="B75" s="102" t="s">
        <v>259</v>
      </c>
      <c r="C75" s="2">
        <v>19201800642</v>
      </c>
      <c r="D75" s="2">
        <v>3.09</v>
      </c>
      <c r="E75" s="379" t="s">
        <v>419</v>
      </c>
    </row>
    <row r="76" spans="1:5" x14ac:dyDescent="0.25">
      <c r="A76" s="371" t="s">
        <v>1120</v>
      </c>
      <c r="B76" s="102" t="s">
        <v>259</v>
      </c>
      <c r="C76" s="2">
        <v>19201800663</v>
      </c>
      <c r="D76" s="2">
        <v>3.06</v>
      </c>
      <c r="E76" s="379" t="s">
        <v>419</v>
      </c>
    </row>
    <row r="77" spans="1:5" x14ac:dyDescent="0.25">
      <c r="A77" s="371" t="s">
        <v>1120</v>
      </c>
      <c r="B77" s="102" t="s">
        <v>259</v>
      </c>
      <c r="C77" s="2">
        <v>19201800666</v>
      </c>
      <c r="D77" s="2">
        <v>2.99</v>
      </c>
      <c r="E77" s="226" t="s">
        <v>420</v>
      </c>
    </row>
    <row r="78" spans="1:5" x14ac:dyDescent="0.25">
      <c r="A78" s="371" t="s">
        <v>1120</v>
      </c>
      <c r="B78" s="102" t="s">
        <v>259</v>
      </c>
      <c r="C78" s="2">
        <v>19201800659</v>
      </c>
      <c r="D78" s="2">
        <v>2.95</v>
      </c>
      <c r="E78" s="226" t="s">
        <v>420</v>
      </c>
    </row>
    <row r="79" spans="1:5" x14ac:dyDescent="0.25">
      <c r="A79" s="371" t="s">
        <v>1120</v>
      </c>
      <c r="B79" s="102" t="s">
        <v>259</v>
      </c>
      <c r="C79" s="2">
        <v>19201800673</v>
      </c>
      <c r="D79" s="2">
        <v>2.92</v>
      </c>
      <c r="E79" s="226" t="s">
        <v>420</v>
      </c>
    </row>
    <row r="80" spans="1:5" x14ac:dyDescent="0.25">
      <c r="A80" s="371" t="s">
        <v>1120</v>
      </c>
      <c r="B80" s="102" t="s">
        <v>259</v>
      </c>
      <c r="C80" s="2">
        <v>19201800649</v>
      </c>
      <c r="D80" s="2">
        <v>2.86</v>
      </c>
      <c r="E80" s="226" t="s">
        <v>420</v>
      </c>
    </row>
    <row r="81" spans="1:5" x14ac:dyDescent="0.25">
      <c r="A81" s="371" t="s">
        <v>1120</v>
      </c>
      <c r="B81" s="102" t="s">
        <v>259</v>
      </c>
      <c r="C81" s="2">
        <v>19201800651</v>
      </c>
      <c r="D81" s="2">
        <v>2.83</v>
      </c>
      <c r="E81" s="226" t="s">
        <v>420</v>
      </c>
    </row>
    <row r="82" spans="1:5" x14ac:dyDescent="0.25">
      <c r="A82" s="371" t="s">
        <v>1120</v>
      </c>
      <c r="B82" s="102" t="s">
        <v>259</v>
      </c>
      <c r="C82" s="2">
        <v>19201800656</v>
      </c>
      <c r="D82" s="2">
        <v>2.69</v>
      </c>
      <c r="E82" s="226" t="s">
        <v>420</v>
      </c>
    </row>
    <row r="83" spans="1:5" x14ac:dyDescent="0.25">
      <c r="A83" s="371" t="s">
        <v>1120</v>
      </c>
      <c r="B83" s="102" t="s">
        <v>259</v>
      </c>
      <c r="C83" s="2">
        <v>19201800669</v>
      </c>
      <c r="D83" s="2">
        <v>2.56</v>
      </c>
      <c r="E83" s="226" t="s">
        <v>420</v>
      </c>
    </row>
    <row r="84" spans="1:5" x14ac:dyDescent="0.25">
      <c r="A84" s="371" t="s">
        <v>1120</v>
      </c>
      <c r="B84" s="102" t="s">
        <v>259</v>
      </c>
      <c r="C84" s="2">
        <v>19201800657</v>
      </c>
      <c r="D84" s="2">
        <v>2.4900000000000002</v>
      </c>
      <c r="E84" s="226" t="s">
        <v>420</v>
      </c>
    </row>
    <row r="85" spans="1:5" x14ac:dyDescent="0.25">
      <c r="A85" s="371" t="s">
        <v>1120</v>
      </c>
      <c r="B85" s="102" t="s">
        <v>259</v>
      </c>
      <c r="C85" s="2">
        <v>19201800665</v>
      </c>
      <c r="D85" s="2">
        <v>2.33</v>
      </c>
      <c r="E85" s="226" t="s">
        <v>420</v>
      </c>
    </row>
    <row r="86" spans="1:5" x14ac:dyDescent="0.25">
      <c r="A86" s="371" t="s">
        <v>1193</v>
      </c>
      <c r="B86" s="102" t="s">
        <v>245</v>
      </c>
      <c r="C86" s="682">
        <v>19201900408</v>
      </c>
      <c r="D86" s="686">
        <v>3.32</v>
      </c>
      <c r="E86" s="379" t="s">
        <v>419</v>
      </c>
    </row>
    <row r="87" spans="1:5" x14ac:dyDescent="0.25">
      <c r="A87" s="371" t="s">
        <v>1193</v>
      </c>
      <c r="B87" s="102" t="s">
        <v>245</v>
      </c>
      <c r="C87" s="682">
        <v>19201900421</v>
      </c>
      <c r="D87" s="686">
        <v>3.3</v>
      </c>
      <c r="E87" s="379" t="s">
        <v>419</v>
      </c>
    </row>
    <row r="88" spans="1:5" x14ac:dyDescent="0.25">
      <c r="A88" s="371" t="s">
        <v>1193</v>
      </c>
      <c r="B88" s="102" t="s">
        <v>245</v>
      </c>
      <c r="C88" s="682">
        <v>19201900411</v>
      </c>
      <c r="D88" s="686">
        <v>3.24</v>
      </c>
      <c r="E88" s="379" t="s">
        <v>419</v>
      </c>
    </row>
    <row r="89" spans="1:5" x14ac:dyDescent="0.25">
      <c r="A89" s="371" t="s">
        <v>1193</v>
      </c>
      <c r="B89" s="102" t="s">
        <v>245</v>
      </c>
      <c r="C89" s="682">
        <v>19201900489</v>
      </c>
      <c r="D89" s="686">
        <v>3.2</v>
      </c>
      <c r="E89" s="379" t="s">
        <v>419</v>
      </c>
    </row>
    <row r="90" spans="1:5" x14ac:dyDescent="0.25">
      <c r="A90" s="371" t="s">
        <v>1193</v>
      </c>
      <c r="B90" s="102" t="s">
        <v>245</v>
      </c>
      <c r="C90" s="682">
        <v>19201900432</v>
      </c>
      <c r="D90" s="686">
        <v>3.17</v>
      </c>
      <c r="E90" s="379" t="s">
        <v>419</v>
      </c>
    </row>
    <row r="91" spans="1:5" x14ac:dyDescent="0.25">
      <c r="A91" s="371" t="s">
        <v>1193</v>
      </c>
      <c r="B91" s="102" t="s">
        <v>245</v>
      </c>
      <c r="C91" s="682">
        <v>19201900436</v>
      </c>
      <c r="D91" s="686">
        <v>2.9</v>
      </c>
      <c r="E91" s="379" t="s">
        <v>419</v>
      </c>
    </row>
    <row r="92" spans="1:5" x14ac:dyDescent="0.25">
      <c r="A92" s="371" t="s">
        <v>1193</v>
      </c>
      <c r="B92" s="102" t="s">
        <v>245</v>
      </c>
      <c r="C92" s="682">
        <v>19201900511</v>
      </c>
      <c r="D92" s="686">
        <v>2.74</v>
      </c>
      <c r="E92" s="379" t="s">
        <v>419</v>
      </c>
    </row>
    <row r="93" spans="1:5" x14ac:dyDescent="0.25">
      <c r="A93" s="371" t="s">
        <v>1193</v>
      </c>
      <c r="B93" s="102" t="s">
        <v>245</v>
      </c>
      <c r="C93" s="682">
        <v>19201900532</v>
      </c>
      <c r="D93" s="686">
        <v>2.74</v>
      </c>
      <c r="E93" s="379" t="s">
        <v>419</v>
      </c>
    </row>
    <row r="94" spans="1:5" x14ac:dyDescent="0.25">
      <c r="A94" s="371" t="s">
        <v>1193</v>
      </c>
      <c r="B94" s="102" t="s">
        <v>245</v>
      </c>
      <c r="C94" s="682">
        <v>19201900519</v>
      </c>
      <c r="D94" s="686">
        <v>2.58</v>
      </c>
      <c r="E94" s="379" t="s">
        <v>419</v>
      </c>
    </row>
    <row r="95" spans="1:5" x14ac:dyDescent="0.25">
      <c r="A95" s="371" t="s">
        <v>1193</v>
      </c>
      <c r="B95" s="102" t="s">
        <v>245</v>
      </c>
      <c r="C95" s="682">
        <v>19201900528</v>
      </c>
      <c r="D95" s="686">
        <v>2.54</v>
      </c>
      <c r="E95" s="226" t="s">
        <v>420</v>
      </c>
    </row>
    <row r="96" spans="1:5" x14ac:dyDescent="0.25">
      <c r="A96" s="371" t="s">
        <v>1193</v>
      </c>
      <c r="B96" s="2" t="s">
        <v>258</v>
      </c>
      <c r="C96" s="682">
        <v>19201900508</v>
      </c>
      <c r="D96" s="686">
        <v>3.44</v>
      </c>
      <c r="E96" s="379" t="s">
        <v>419</v>
      </c>
    </row>
    <row r="97" spans="1:5" x14ac:dyDescent="0.25">
      <c r="A97" s="371" t="s">
        <v>1193</v>
      </c>
      <c r="B97" s="2" t="s">
        <v>258</v>
      </c>
      <c r="C97" s="682">
        <v>19201900515</v>
      </c>
      <c r="D97" s="686">
        <v>3.4</v>
      </c>
      <c r="E97" s="379" t="s">
        <v>419</v>
      </c>
    </row>
    <row r="98" spans="1:5" x14ac:dyDescent="0.25">
      <c r="A98" s="371" t="s">
        <v>1193</v>
      </c>
      <c r="B98" s="102" t="s">
        <v>259</v>
      </c>
      <c r="C98" s="682">
        <v>19201900513</v>
      </c>
      <c r="D98" s="678">
        <v>3.61</v>
      </c>
      <c r="E98" s="379" t="s">
        <v>419</v>
      </c>
    </row>
    <row r="99" spans="1:5" x14ac:dyDescent="0.25">
      <c r="A99" s="371" t="s">
        <v>1193</v>
      </c>
      <c r="B99" s="102" t="s">
        <v>259</v>
      </c>
      <c r="C99" s="682">
        <v>19201900514</v>
      </c>
      <c r="D99" s="678">
        <v>3.42</v>
      </c>
      <c r="E99" s="379" t="s">
        <v>419</v>
      </c>
    </row>
    <row r="100" spans="1:5" x14ac:dyDescent="0.25">
      <c r="A100" s="371" t="s">
        <v>1193</v>
      </c>
      <c r="B100" s="102" t="s">
        <v>259</v>
      </c>
      <c r="C100" s="682">
        <v>19201900521</v>
      </c>
      <c r="D100" s="678">
        <v>3.4</v>
      </c>
      <c r="E100" s="379" t="s">
        <v>419</v>
      </c>
    </row>
    <row r="101" spans="1:5" x14ac:dyDescent="0.25">
      <c r="A101" s="371" t="s">
        <v>1193</v>
      </c>
      <c r="B101" s="102" t="s">
        <v>259</v>
      </c>
      <c r="C101" s="682">
        <v>19201900518</v>
      </c>
      <c r="D101" s="678">
        <v>3.34</v>
      </c>
      <c r="E101" s="379" t="s">
        <v>419</v>
      </c>
    </row>
    <row r="102" spans="1:5" x14ac:dyDescent="0.25">
      <c r="A102" s="371" t="s">
        <v>1193</v>
      </c>
      <c r="B102" s="102" t="s">
        <v>259</v>
      </c>
      <c r="C102" s="682">
        <v>19201900424</v>
      </c>
      <c r="D102" s="678">
        <v>3</v>
      </c>
      <c r="E102" s="379" t="s">
        <v>419</v>
      </c>
    </row>
    <row r="103" spans="1:5" x14ac:dyDescent="0.25">
      <c r="A103" s="371" t="s">
        <v>1193</v>
      </c>
      <c r="B103" s="102" t="s">
        <v>259</v>
      </c>
      <c r="C103" s="682">
        <v>19201900512</v>
      </c>
      <c r="D103" s="678">
        <v>2.96</v>
      </c>
      <c r="E103" s="379" t="s">
        <v>419</v>
      </c>
    </row>
    <row r="104" spans="1:5" x14ac:dyDescent="0.25">
      <c r="A104" s="371" t="s">
        <v>1193</v>
      </c>
      <c r="B104" s="102" t="s">
        <v>259</v>
      </c>
      <c r="C104" s="682">
        <v>19201900524</v>
      </c>
      <c r="D104" s="678">
        <v>2.92</v>
      </c>
      <c r="E104" s="379" t="s">
        <v>419</v>
      </c>
    </row>
    <row r="105" spans="1:5" x14ac:dyDescent="0.25">
      <c r="A105" s="371" t="s">
        <v>1193</v>
      </c>
      <c r="B105" s="102" t="s">
        <v>259</v>
      </c>
      <c r="C105" s="682">
        <v>19201900517</v>
      </c>
      <c r="D105" s="678">
        <v>2.79</v>
      </c>
      <c r="E105" s="379" t="s">
        <v>419</v>
      </c>
    </row>
    <row r="106" spans="1:5" x14ac:dyDescent="0.25">
      <c r="A106" s="371" t="s">
        <v>1193</v>
      </c>
      <c r="B106" s="102" t="s">
        <v>259</v>
      </c>
      <c r="C106" s="682">
        <v>19201900530</v>
      </c>
      <c r="D106" s="678">
        <v>2.76</v>
      </c>
      <c r="E106" s="226" t="s">
        <v>420</v>
      </c>
    </row>
    <row r="107" spans="1:5" x14ac:dyDescent="0.25">
      <c r="A107" s="371" t="s">
        <v>1193</v>
      </c>
      <c r="B107" s="102" t="s">
        <v>259</v>
      </c>
      <c r="C107" s="682">
        <v>19201900509</v>
      </c>
      <c r="D107" s="678">
        <v>2.73</v>
      </c>
      <c r="E107" s="226" t="s">
        <v>420</v>
      </c>
    </row>
    <row r="108" spans="1:5" x14ac:dyDescent="0.25">
      <c r="A108" s="371" t="s">
        <v>1193</v>
      </c>
      <c r="B108" s="102" t="s">
        <v>259</v>
      </c>
      <c r="C108" s="682">
        <v>19201900525</v>
      </c>
      <c r="D108" s="678">
        <v>2.69</v>
      </c>
      <c r="E108" s="226" t="s">
        <v>420</v>
      </c>
    </row>
    <row r="109" spans="1:5" x14ac:dyDescent="0.25">
      <c r="A109" s="371" t="s">
        <v>1193</v>
      </c>
      <c r="B109" s="102" t="s">
        <v>259</v>
      </c>
      <c r="C109" s="682">
        <v>19201900527</v>
      </c>
      <c r="D109" s="678">
        <v>2.62</v>
      </c>
      <c r="E109" s="226" t="s">
        <v>420</v>
      </c>
    </row>
    <row r="110" spans="1:5" x14ac:dyDescent="0.25">
      <c r="A110" s="371" t="s">
        <v>1193</v>
      </c>
      <c r="B110" s="102" t="s">
        <v>259</v>
      </c>
      <c r="C110" s="682">
        <v>19201900516</v>
      </c>
      <c r="D110" s="678">
        <v>2.46</v>
      </c>
      <c r="E110" s="226" t="s">
        <v>420</v>
      </c>
    </row>
    <row r="111" spans="1:5" x14ac:dyDescent="0.25">
      <c r="A111" s="371" t="s">
        <v>1193</v>
      </c>
      <c r="B111" s="102" t="s">
        <v>259</v>
      </c>
      <c r="C111" s="682">
        <v>19201900523</v>
      </c>
      <c r="D111" s="678">
        <v>2.46</v>
      </c>
      <c r="E111" s="226" t="s">
        <v>420</v>
      </c>
    </row>
    <row r="112" spans="1:5" x14ac:dyDescent="0.25">
      <c r="A112" s="371" t="s">
        <v>1193</v>
      </c>
      <c r="B112" s="102" t="s">
        <v>259</v>
      </c>
      <c r="C112" s="682">
        <v>19201900522</v>
      </c>
      <c r="D112" s="678">
        <v>2.4300000000000002</v>
      </c>
      <c r="E112" s="226" t="s">
        <v>420</v>
      </c>
    </row>
    <row r="113" spans="1:5" x14ac:dyDescent="0.25">
      <c r="A113" s="2" t="s">
        <v>1331</v>
      </c>
      <c r="B113" s="2" t="s">
        <v>1332</v>
      </c>
      <c r="C113" s="2">
        <v>19202100341</v>
      </c>
      <c r="D113" s="2">
        <v>3.6</v>
      </c>
      <c r="E113" s="379" t="s">
        <v>419</v>
      </c>
    </row>
    <row r="114" spans="1:5" x14ac:dyDescent="0.25">
      <c r="A114" s="2" t="s">
        <v>1331</v>
      </c>
      <c r="B114" s="2" t="s">
        <v>1332</v>
      </c>
      <c r="C114" s="2">
        <v>19202100347</v>
      </c>
      <c r="D114" s="2">
        <v>3.52</v>
      </c>
      <c r="E114" s="379" t="s">
        <v>419</v>
      </c>
    </row>
    <row r="115" spans="1:5" x14ac:dyDescent="0.25">
      <c r="A115" s="2" t="s">
        <v>1331</v>
      </c>
      <c r="B115" s="2" t="s">
        <v>1332</v>
      </c>
      <c r="C115" s="2">
        <v>19202100339</v>
      </c>
      <c r="D115" s="2">
        <v>3.47</v>
      </c>
      <c r="E115" s="379" t="s">
        <v>419</v>
      </c>
    </row>
    <row r="116" spans="1:5" x14ac:dyDescent="0.25">
      <c r="A116" s="2" t="s">
        <v>1331</v>
      </c>
      <c r="B116" s="2" t="s">
        <v>1332</v>
      </c>
      <c r="C116" s="2">
        <v>19202100348</v>
      </c>
      <c r="D116" s="2">
        <v>3.47</v>
      </c>
      <c r="E116" s="379" t="s">
        <v>419</v>
      </c>
    </row>
    <row r="117" spans="1:5" x14ac:dyDescent="0.25">
      <c r="A117" s="2" t="s">
        <v>1331</v>
      </c>
      <c r="B117" s="2" t="s">
        <v>1332</v>
      </c>
      <c r="C117" s="2">
        <v>19202100350</v>
      </c>
      <c r="D117" s="2">
        <v>3.47</v>
      </c>
      <c r="E117" s="379" t="s">
        <v>419</v>
      </c>
    </row>
    <row r="118" spans="1:5" x14ac:dyDescent="0.25">
      <c r="A118" s="2" t="s">
        <v>1331</v>
      </c>
      <c r="B118" s="2" t="s">
        <v>1332</v>
      </c>
      <c r="C118" s="2">
        <v>19202100351</v>
      </c>
      <c r="D118" s="2">
        <v>3.42</v>
      </c>
      <c r="E118" s="379" t="s">
        <v>419</v>
      </c>
    </row>
    <row r="119" spans="1:5" x14ac:dyDescent="0.25">
      <c r="A119" s="2" t="s">
        <v>1331</v>
      </c>
      <c r="B119" s="2" t="s">
        <v>1332</v>
      </c>
      <c r="C119" s="2">
        <v>19202100340</v>
      </c>
      <c r="D119" s="2">
        <v>3.41</v>
      </c>
      <c r="E119" s="379" t="s">
        <v>419</v>
      </c>
    </row>
    <row r="120" spans="1:5" x14ac:dyDescent="0.25">
      <c r="A120" s="2" t="s">
        <v>1331</v>
      </c>
      <c r="B120" s="2" t="s">
        <v>1332</v>
      </c>
      <c r="C120" s="2">
        <v>19202100344</v>
      </c>
      <c r="D120" s="2">
        <v>3.34</v>
      </c>
      <c r="E120" s="379" t="s">
        <v>419</v>
      </c>
    </row>
    <row r="121" spans="1:5" x14ac:dyDescent="0.25">
      <c r="A121" s="2" t="s">
        <v>1331</v>
      </c>
      <c r="B121" s="2" t="s">
        <v>1332</v>
      </c>
      <c r="C121" s="2">
        <v>19202100346</v>
      </c>
      <c r="D121" s="2">
        <v>3.34</v>
      </c>
      <c r="E121" s="379" t="s">
        <v>419</v>
      </c>
    </row>
    <row r="122" spans="1:5" x14ac:dyDescent="0.25">
      <c r="A122" s="2" t="s">
        <v>1331</v>
      </c>
      <c r="B122" s="2" t="s">
        <v>1332</v>
      </c>
      <c r="C122" s="2">
        <v>19202100349</v>
      </c>
      <c r="D122" s="2">
        <v>3.12</v>
      </c>
      <c r="E122" s="379" t="s">
        <v>419</v>
      </c>
    </row>
    <row r="123" spans="1:5" x14ac:dyDescent="0.25">
      <c r="A123" s="2" t="s">
        <v>1331</v>
      </c>
      <c r="B123" s="2" t="s">
        <v>1332</v>
      </c>
      <c r="C123" s="2">
        <v>19202100338</v>
      </c>
      <c r="D123" s="2">
        <v>3.1</v>
      </c>
      <c r="E123" s="379" t="s">
        <v>419</v>
      </c>
    </row>
    <row r="124" spans="1:5" x14ac:dyDescent="0.25">
      <c r="A124" s="2" t="s">
        <v>1331</v>
      </c>
      <c r="B124" s="2" t="s">
        <v>1332</v>
      </c>
      <c r="C124" s="2">
        <v>19202100345</v>
      </c>
      <c r="D124" s="2">
        <v>3.07</v>
      </c>
      <c r="E124" s="379" t="s">
        <v>419</v>
      </c>
    </row>
    <row r="125" spans="1:5" x14ac:dyDescent="0.25">
      <c r="A125" s="2" t="s">
        <v>1400</v>
      </c>
      <c r="B125" s="2" t="s">
        <v>1332</v>
      </c>
      <c r="C125" s="2">
        <v>19202101048</v>
      </c>
      <c r="D125" s="26">
        <v>3.1</v>
      </c>
      <c r="E125" s="379" t="s">
        <v>419</v>
      </c>
    </row>
    <row r="126" spans="1:5" x14ac:dyDescent="0.25">
      <c r="A126" s="2" t="s">
        <v>1385</v>
      </c>
      <c r="B126" s="646" t="s">
        <v>1401</v>
      </c>
      <c r="C126" s="647">
        <v>19202101039</v>
      </c>
      <c r="D126" s="647">
        <v>3.58</v>
      </c>
      <c r="E126" s="379" t="s">
        <v>419</v>
      </c>
    </row>
    <row r="127" spans="1:5" x14ac:dyDescent="0.25">
      <c r="A127" s="2" t="s">
        <v>1385</v>
      </c>
      <c r="B127" s="646" t="s">
        <v>1401</v>
      </c>
      <c r="C127" s="647">
        <v>19202101015</v>
      </c>
      <c r="D127" s="647">
        <v>3.36</v>
      </c>
      <c r="E127" s="379" t="s">
        <v>419</v>
      </c>
    </row>
    <row r="128" spans="1:5" x14ac:dyDescent="0.25">
      <c r="A128" s="2" t="s">
        <v>1385</v>
      </c>
      <c r="B128" s="646" t="s">
        <v>1401</v>
      </c>
      <c r="C128" s="647">
        <v>19202101020</v>
      </c>
      <c r="D128" s="647">
        <v>3.33</v>
      </c>
      <c r="E128" s="379" t="s">
        <v>419</v>
      </c>
    </row>
    <row r="129" spans="1:5" x14ac:dyDescent="0.25">
      <c r="A129" s="2" t="s">
        <v>1385</v>
      </c>
      <c r="B129" s="646" t="s">
        <v>1401</v>
      </c>
      <c r="C129" s="647">
        <v>19202101050</v>
      </c>
      <c r="D129" s="647">
        <v>3.3</v>
      </c>
      <c r="E129" s="379" t="s">
        <v>419</v>
      </c>
    </row>
    <row r="130" spans="1:5" x14ac:dyDescent="0.25">
      <c r="A130" s="2" t="s">
        <v>1385</v>
      </c>
      <c r="B130" s="646" t="s">
        <v>1401</v>
      </c>
      <c r="C130" s="647">
        <v>19202101036</v>
      </c>
      <c r="D130" s="647">
        <v>3.24</v>
      </c>
      <c r="E130" s="379" t="s">
        <v>419</v>
      </c>
    </row>
    <row r="131" spans="1:5" x14ac:dyDescent="0.25">
      <c r="A131" s="2" t="s">
        <v>1385</v>
      </c>
      <c r="B131" s="646" t="s">
        <v>1401</v>
      </c>
      <c r="C131" s="647">
        <v>19202101034</v>
      </c>
      <c r="D131" s="647">
        <v>3.17</v>
      </c>
      <c r="E131" s="379" t="s">
        <v>419</v>
      </c>
    </row>
    <row r="132" spans="1:5" x14ac:dyDescent="0.25">
      <c r="A132" s="2" t="s">
        <v>1385</v>
      </c>
      <c r="B132" s="646" t="s">
        <v>1401</v>
      </c>
      <c r="C132" s="647">
        <v>19202101046</v>
      </c>
      <c r="D132" s="647">
        <v>3.12</v>
      </c>
      <c r="E132" s="379" t="s">
        <v>419</v>
      </c>
    </row>
    <row r="133" spans="1:5" x14ac:dyDescent="0.25">
      <c r="A133" s="2" t="s">
        <v>1385</v>
      </c>
      <c r="B133" s="646" t="s">
        <v>1401</v>
      </c>
      <c r="C133" s="647">
        <v>19202101052</v>
      </c>
      <c r="D133" s="647">
        <v>3.11</v>
      </c>
      <c r="E133" s="379" t="s">
        <v>419</v>
      </c>
    </row>
    <row r="134" spans="1:5" x14ac:dyDescent="0.25">
      <c r="A134" s="2" t="s">
        <v>1385</v>
      </c>
      <c r="B134" s="646" t="s">
        <v>1401</v>
      </c>
      <c r="C134" s="647">
        <v>19202101025</v>
      </c>
      <c r="D134" s="647">
        <v>2.97</v>
      </c>
      <c r="E134" s="379" t="s">
        <v>419</v>
      </c>
    </row>
    <row r="135" spans="1:5" x14ac:dyDescent="0.25">
      <c r="A135" s="2" t="s">
        <v>1385</v>
      </c>
      <c r="B135" s="646" t="s">
        <v>1401</v>
      </c>
      <c r="C135" s="647">
        <v>19202101045</v>
      </c>
      <c r="D135" s="647">
        <v>2.9</v>
      </c>
      <c r="E135" s="379" t="s">
        <v>419</v>
      </c>
    </row>
    <row r="136" spans="1:5" x14ac:dyDescent="0.25">
      <c r="A136" s="2" t="s">
        <v>1385</v>
      </c>
      <c r="B136" s="646" t="s">
        <v>1401</v>
      </c>
      <c r="C136" s="647">
        <v>19202101031</v>
      </c>
      <c r="D136" s="647">
        <v>2.79</v>
      </c>
      <c r="E136" s="379" t="s">
        <v>419</v>
      </c>
    </row>
    <row r="137" spans="1:5" x14ac:dyDescent="0.25">
      <c r="A137" s="2" t="s">
        <v>1385</v>
      </c>
      <c r="B137" s="646" t="s">
        <v>1401</v>
      </c>
      <c r="C137" s="647">
        <v>19202101038</v>
      </c>
      <c r="D137" s="647">
        <v>2.75</v>
      </c>
      <c r="E137" s="379" t="s">
        <v>419</v>
      </c>
    </row>
    <row r="138" spans="1:5" x14ac:dyDescent="0.25">
      <c r="A138" s="2" t="s">
        <v>1385</v>
      </c>
      <c r="B138" s="646" t="s">
        <v>1401</v>
      </c>
      <c r="C138" s="647">
        <v>19202101013</v>
      </c>
      <c r="D138" s="647">
        <v>2.73</v>
      </c>
      <c r="E138" s="226" t="s">
        <v>420</v>
      </c>
    </row>
    <row r="139" spans="1:5" x14ac:dyDescent="0.25">
      <c r="A139" s="2" t="s">
        <v>1385</v>
      </c>
      <c r="B139" s="646" t="s">
        <v>1401</v>
      </c>
      <c r="C139" s="647">
        <v>19202101057</v>
      </c>
      <c r="D139" s="647">
        <v>2.73</v>
      </c>
      <c r="E139" s="226" t="s">
        <v>420</v>
      </c>
    </row>
    <row r="140" spans="1:5" x14ac:dyDescent="0.25">
      <c r="A140" s="2" t="s">
        <v>1385</v>
      </c>
      <c r="B140" s="646" t="s">
        <v>1401</v>
      </c>
      <c r="C140" s="647">
        <v>19202101055</v>
      </c>
      <c r="D140" s="647">
        <v>2.71</v>
      </c>
      <c r="E140" s="226" t="s">
        <v>420</v>
      </c>
    </row>
    <row r="141" spans="1:5" x14ac:dyDescent="0.25">
      <c r="A141" s="2" t="s">
        <v>1385</v>
      </c>
      <c r="B141" s="646" t="s">
        <v>1401</v>
      </c>
      <c r="C141" s="647">
        <v>19202101016</v>
      </c>
      <c r="D141" s="647">
        <v>2.63</v>
      </c>
      <c r="E141" s="226" t="s">
        <v>420</v>
      </c>
    </row>
    <row r="142" spans="1:5" x14ac:dyDescent="0.25">
      <c r="A142" s="2" t="s">
        <v>1385</v>
      </c>
      <c r="B142" s="646" t="s">
        <v>1401</v>
      </c>
      <c r="C142" s="647">
        <v>19202101035</v>
      </c>
      <c r="D142" s="647">
        <v>2.56</v>
      </c>
      <c r="E142" s="226" t="s">
        <v>420</v>
      </c>
    </row>
    <row r="143" spans="1:5" x14ac:dyDescent="0.25">
      <c r="A143" s="2" t="s">
        <v>1385</v>
      </c>
      <c r="B143" s="646" t="s">
        <v>1401</v>
      </c>
      <c r="C143" s="647">
        <v>19202101012</v>
      </c>
      <c r="D143" s="647">
        <v>2.5099999999999998</v>
      </c>
      <c r="E143" s="226" t="s">
        <v>420</v>
      </c>
    </row>
    <row r="144" spans="1:5" x14ac:dyDescent="0.25">
      <c r="A144" s="2" t="s">
        <v>1385</v>
      </c>
      <c r="B144" t="s">
        <v>1402</v>
      </c>
      <c r="C144" s="647">
        <v>19202101170</v>
      </c>
      <c r="D144" s="647">
        <v>3.1</v>
      </c>
      <c r="E144" s="379" t="s">
        <v>419</v>
      </c>
    </row>
    <row r="145" spans="1:5" x14ac:dyDescent="0.25">
      <c r="A145" s="2" t="s">
        <v>1385</v>
      </c>
      <c r="B145" s="647" t="s">
        <v>1402</v>
      </c>
      <c r="C145" s="647">
        <v>19202101054</v>
      </c>
      <c r="D145" s="647">
        <v>3</v>
      </c>
      <c r="E145" s="379" t="s">
        <v>419</v>
      </c>
    </row>
    <row r="146" spans="1:5" x14ac:dyDescent="0.25">
      <c r="A146" s="2" t="s">
        <v>1385</v>
      </c>
      <c r="B146" s="647" t="s">
        <v>1402</v>
      </c>
      <c r="C146" s="647">
        <v>19202101229</v>
      </c>
      <c r="D146" s="647">
        <v>2.9</v>
      </c>
      <c r="E146" s="379" t="s">
        <v>419</v>
      </c>
    </row>
    <row r="147" spans="1:5" x14ac:dyDescent="0.25">
      <c r="A147" s="2" t="s">
        <v>1385</v>
      </c>
      <c r="B147" s="647" t="s">
        <v>1402</v>
      </c>
      <c r="C147" s="647">
        <v>19202101058</v>
      </c>
      <c r="D147" s="647">
        <v>2.79</v>
      </c>
      <c r="E147" s="379" t="s">
        <v>419</v>
      </c>
    </row>
    <row r="148" spans="1:5" x14ac:dyDescent="0.25">
      <c r="A148" s="2" t="s">
        <v>1385</v>
      </c>
      <c r="B148" t="s">
        <v>1403</v>
      </c>
      <c r="C148" s="647">
        <v>19202101042</v>
      </c>
      <c r="D148" s="647">
        <v>3.62</v>
      </c>
      <c r="E148" s="379" t="s">
        <v>419</v>
      </c>
    </row>
    <row r="149" spans="1:5" x14ac:dyDescent="0.25">
      <c r="A149" s="2" t="s">
        <v>1385</v>
      </c>
      <c r="B149" s="647" t="s">
        <v>1403</v>
      </c>
      <c r="C149" s="647">
        <v>19202101023</v>
      </c>
      <c r="D149" s="647">
        <v>3.39</v>
      </c>
      <c r="E149" s="379" t="s">
        <v>419</v>
      </c>
    </row>
    <row r="150" spans="1:5" x14ac:dyDescent="0.25">
      <c r="A150" s="2" t="s">
        <v>1385</v>
      </c>
      <c r="B150" s="647" t="s">
        <v>1403</v>
      </c>
      <c r="C150" s="647">
        <v>19202101047</v>
      </c>
      <c r="D150" s="647">
        <v>3.36</v>
      </c>
      <c r="E150" s="379" t="s">
        <v>419</v>
      </c>
    </row>
    <row r="151" spans="1:5" x14ac:dyDescent="0.25">
      <c r="A151" s="2" t="s">
        <v>1385</v>
      </c>
      <c r="B151" s="647" t="s">
        <v>1403</v>
      </c>
      <c r="C151" s="647">
        <v>19202101033</v>
      </c>
      <c r="D151" s="647">
        <v>3.34</v>
      </c>
      <c r="E151" s="379" t="s">
        <v>419</v>
      </c>
    </row>
    <row r="152" spans="1:5" x14ac:dyDescent="0.25">
      <c r="A152" s="2" t="s">
        <v>1385</v>
      </c>
      <c r="B152" s="647" t="s">
        <v>1403</v>
      </c>
      <c r="C152" s="647">
        <v>19202101051</v>
      </c>
      <c r="D152" s="647">
        <v>3.31</v>
      </c>
      <c r="E152" s="379" t="s">
        <v>419</v>
      </c>
    </row>
    <row r="153" spans="1:5" x14ac:dyDescent="0.25">
      <c r="A153" s="2" t="s">
        <v>1385</v>
      </c>
      <c r="B153" s="647" t="s">
        <v>1403</v>
      </c>
      <c r="C153" s="647">
        <v>19202101056</v>
      </c>
      <c r="D153" s="647">
        <v>3.06</v>
      </c>
      <c r="E153" s="379" t="s">
        <v>419</v>
      </c>
    </row>
    <row r="154" spans="1:5" x14ac:dyDescent="0.25">
      <c r="A154" s="179" t="s">
        <v>1385</v>
      </c>
      <c r="B154" s="647" t="s">
        <v>1403</v>
      </c>
      <c r="C154" s="647">
        <v>19202101053</v>
      </c>
      <c r="D154" s="647">
        <v>2.92</v>
      </c>
      <c r="E154" s="379" t="s">
        <v>419</v>
      </c>
    </row>
    <row r="155" spans="1:5" x14ac:dyDescent="0.25">
      <c r="A155" s="2" t="s">
        <v>1464</v>
      </c>
      <c r="B155" s="2" t="s">
        <v>1332</v>
      </c>
      <c r="C155" s="2">
        <v>19202101608</v>
      </c>
      <c r="D155" s="2">
        <v>3.26</v>
      </c>
      <c r="E155" s="379" t="s">
        <v>419</v>
      </c>
    </row>
    <row r="156" spans="1:5" x14ac:dyDescent="0.25">
      <c r="A156" s="2" t="s">
        <v>1464</v>
      </c>
      <c r="B156" s="2" t="s">
        <v>1332</v>
      </c>
      <c r="C156" s="2">
        <v>19202101603</v>
      </c>
      <c r="D156" s="2">
        <v>3.25</v>
      </c>
      <c r="E156" s="379" t="s">
        <v>419</v>
      </c>
    </row>
    <row r="157" spans="1:5" x14ac:dyDescent="0.25">
      <c r="A157" s="2" t="s">
        <v>1464</v>
      </c>
      <c r="B157" s="2" t="s">
        <v>1332</v>
      </c>
      <c r="C157" s="2">
        <v>19202101598</v>
      </c>
      <c r="D157" s="2">
        <v>3.1</v>
      </c>
      <c r="E157" s="379" t="s">
        <v>419</v>
      </c>
    </row>
    <row r="158" spans="1:5" x14ac:dyDescent="0.25">
      <c r="A158" s="2" t="s">
        <v>1464</v>
      </c>
      <c r="B158" s="2" t="s">
        <v>1332</v>
      </c>
      <c r="C158" s="2">
        <v>19202101607</v>
      </c>
      <c r="D158" s="2">
        <v>3.04</v>
      </c>
      <c r="E158" s="379" t="s">
        <v>419</v>
      </c>
    </row>
    <row r="159" spans="1:5" x14ac:dyDescent="0.25">
      <c r="A159" s="2" t="s">
        <v>1464</v>
      </c>
      <c r="B159" s="2" t="s">
        <v>1332</v>
      </c>
      <c r="C159" s="2">
        <v>19202101597</v>
      </c>
      <c r="D159" s="2">
        <v>2.9</v>
      </c>
      <c r="E159" s="379" t="s">
        <v>419</v>
      </c>
    </row>
    <row r="160" spans="1:5" x14ac:dyDescent="0.25">
      <c r="A160" s="2" t="s">
        <v>1464</v>
      </c>
      <c r="B160" s="2" t="s">
        <v>1332</v>
      </c>
      <c r="C160" s="2">
        <v>19202101586</v>
      </c>
      <c r="D160" s="2">
        <v>2.88</v>
      </c>
      <c r="E160" s="379" t="s">
        <v>419</v>
      </c>
    </row>
    <row r="161" spans="1:5" x14ac:dyDescent="0.25">
      <c r="A161" s="2" t="s">
        <v>1464</v>
      </c>
      <c r="B161" s="2" t="s">
        <v>1332</v>
      </c>
      <c r="C161" s="2">
        <v>19202101602</v>
      </c>
      <c r="D161" s="2">
        <v>2.87</v>
      </c>
      <c r="E161" s="379" t="s">
        <v>419</v>
      </c>
    </row>
    <row r="162" spans="1:5" x14ac:dyDescent="0.25">
      <c r="A162" s="2" t="s">
        <v>1464</v>
      </c>
      <c r="B162" s="2" t="s">
        <v>1332</v>
      </c>
      <c r="C162" s="2">
        <v>19202101610</v>
      </c>
      <c r="D162" s="2">
        <v>2.86</v>
      </c>
      <c r="E162" s="379" t="s">
        <v>419</v>
      </c>
    </row>
    <row r="163" spans="1:5" x14ac:dyDescent="0.25">
      <c r="A163" s="2" t="s">
        <v>1464</v>
      </c>
      <c r="B163" s="2" t="s">
        <v>1332</v>
      </c>
      <c r="C163" s="2">
        <v>19202101609</v>
      </c>
      <c r="D163" s="2">
        <v>2.68</v>
      </c>
      <c r="E163" s="379" t="s">
        <v>419</v>
      </c>
    </row>
    <row r="164" spans="1:5" x14ac:dyDescent="0.25">
      <c r="A164" s="2" t="s">
        <v>1464</v>
      </c>
      <c r="B164" s="2" t="s">
        <v>1332</v>
      </c>
      <c r="C164" s="2">
        <v>19202101589</v>
      </c>
      <c r="D164" s="2">
        <v>2.6</v>
      </c>
      <c r="E164" s="379" t="s">
        <v>419</v>
      </c>
    </row>
    <row r="165" spans="1:5" x14ac:dyDescent="0.25">
      <c r="A165" s="2" t="s">
        <v>1464</v>
      </c>
      <c r="B165" s="2" t="s">
        <v>1332</v>
      </c>
      <c r="C165" s="2">
        <v>19202101599</v>
      </c>
      <c r="D165" s="2">
        <v>2.4300000000000002</v>
      </c>
      <c r="E165" s="226" t="s">
        <v>420</v>
      </c>
    </row>
    <row r="166" spans="1:5" x14ac:dyDescent="0.25">
      <c r="A166" s="2" t="s">
        <v>1464</v>
      </c>
      <c r="B166" s="2" t="s">
        <v>1332</v>
      </c>
      <c r="C166" s="2">
        <v>19202101584</v>
      </c>
      <c r="D166" s="2">
        <v>2.3199999999999998</v>
      </c>
      <c r="E166" s="226" t="s">
        <v>420</v>
      </c>
    </row>
    <row r="167" spans="1:5" x14ac:dyDescent="0.25">
      <c r="A167" s="2" t="s">
        <v>1464</v>
      </c>
      <c r="B167" s="2" t="s">
        <v>1332</v>
      </c>
      <c r="C167" s="2">
        <v>19202101612</v>
      </c>
      <c r="D167" s="2">
        <v>2.31</v>
      </c>
      <c r="E167" s="226" t="s">
        <v>420</v>
      </c>
    </row>
  </sheetData>
  <sortState ref="A19:E30">
    <sortCondition descending="1" ref="D19:D30"/>
  </sortState>
  <mergeCells count="1">
    <mergeCell ref="A1:E1"/>
  </mergeCells>
  <hyperlinks>
    <hyperlink ref="C86" r:id="rId1" location="/router?komponent=taotlus&amp;id=612285&amp;kuva=ava" display="https://pms.arib.pria.ee/pms-menetlus/ - /router?komponent=taotlus&amp;id=612285&amp;kuva=ava"/>
    <hyperlink ref="C87" r:id="rId2" location="/router?komponent=taotlus&amp;id=614265&amp;kuva=ava" display="https://pms.arib.pria.ee/pms-menetlus/ - /router?komponent=taotlus&amp;id=614265&amp;kuva=ava"/>
    <hyperlink ref="C88" r:id="rId3" location="/router?komponent=taotlus&amp;id=612814&amp;kuva=ava" display="https://pms.arib.pria.ee/pms-menetlus/ - /router?komponent=taotlus&amp;id=612814&amp;kuva=ava"/>
    <hyperlink ref="C89" r:id="rId4" location="/router?komponent=taotlus&amp;id=613325&amp;kuva=ava" display="https://pms.arib.pria.ee/pms-menetlus/ - /router?komponent=taotlus&amp;id=613325&amp;kuva=ava"/>
    <hyperlink ref="C90" r:id="rId5" location="/router?komponent=taotlus&amp;id=613110&amp;kuva=ava" display="https://pms.arib.pria.ee/pms-menetlus/ - /router?komponent=taotlus&amp;id=613110&amp;kuva=ava"/>
    <hyperlink ref="C91" r:id="rId6" location="/router?komponent=taotlus&amp;id=612598&amp;kuva=ava" display="https://pms.arib.pria.ee/pms-menetlus/ - /router?komponent=taotlus&amp;id=612598&amp;kuva=ava"/>
    <hyperlink ref="C92" r:id="rId7" location="/router?komponent=taotlus&amp;id=616318&amp;kuva=ava" display="https://pms.arib.pria.ee/pms-menetlus/ - /router?komponent=taotlus&amp;id=616318&amp;kuva=ava"/>
    <hyperlink ref="C93" r:id="rId8" location="/router?komponent=taotlus&amp;id=616317&amp;kuva=ava" display="https://pms.arib.pria.ee/pms-menetlus/ - /router?komponent=taotlus&amp;id=616317&amp;kuva=ava"/>
    <hyperlink ref="C94" r:id="rId9" location="/router?komponent=taotlus&amp;id=624391&amp;kuva=ava" display="https://pms.arib.pria.ee/pms-menetlus/ - /router?komponent=taotlus&amp;id=624391&amp;kuva=ava"/>
    <hyperlink ref="C95" r:id="rId10" location="/router?komponent=taotlus&amp;id=626371&amp;kuva=ava" display="https://pms.arib.pria.ee/pms-menetlus/ - /router?komponent=taotlus&amp;id=626371&amp;kuva=ava"/>
    <hyperlink ref="C96" r:id="rId11" location="/router?komponent=taotlus&amp;id=622114&amp;kuva=ava" display="https://pms.arib.pria.ee/pms-menetlus/ - /router?komponent=taotlus&amp;id=622114&amp;kuva=ava"/>
    <hyperlink ref="C97" r:id="rId12" location="/router?komponent=taotlus&amp;id=614173&amp;kuva=ava" display="https://pms.arib.pria.ee/pms-menetlus/ - /router?komponent=taotlus&amp;id=614173&amp;kuva=ava"/>
    <hyperlink ref="C98" r:id="rId13" location="/router?komponent=taotlus&amp;id=615728&amp;kuva=ava" display="https://pms.arib.pria.ee/pms-menetlus/ - /router?komponent=taotlus&amp;id=615728&amp;kuva=ava"/>
    <hyperlink ref="C99" r:id="rId14" location="/router?komponent=taotlus&amp;id=612327&amp;kuva=ava" display="https://pms.arib.pria.ee/pms-menetlus/ - /router?komponent=taotlus&amp;id=612327&amp;kuva=ava"/>
    <hyperlink ref="C100" r:id="rId15" location="/router?komponent=taotlus&amp;id=618007&amp;kuva=ava" display="https://pms.arib.pria.ee/pms-menetlus/ - /router?komponent=taotlus&amp;id=618007&amp;kuva=ava"/>
    <hyperlink ref="C101" r:id="rId16" location="/router?komponent=taotlus&amp;id=612283&amp;kuva=ava" display="https://pms.arib.pria.ee/pms-menetlus/ - /router?komponent=taotlus&amp;id=612283&amp;kuva=ava"/>
    <hyperlink ref="C102" r:id="rId17" location="/router?komponent=taotlus&amp;id=614306&amp;kuva=ava" display="https://pms.arib.pria.ee/pms-menetlus/ - /router?komponent=taotlus&amp;id=614306&amp;kuva=ava"/>
    <hyperlink ref="C103" r:id="rId18" location="/router?komponent=taotlus&amp;id=620945&amp;kuva=ava" display="https://pms.arib.pria.ee/pms-menetlus/ - /router?komponent=taotlus&amp;id=620945&amp;kuva=ava"/>
    <hyperlink ref="C104" r:id="rId19" location="/router?komponent=taotlus&amp;id=625332&amp;kuva=ava" display="https://pms.arib.pria.ee/pms-menetlus/ - /router?komponent=taotlus&amp;id=625332&amp;kuva=ava"/>
    <hyperlink ref="C105" r:id="rId20" location="/router?komponent=taotlus&amp;id=619573&amp;kuva=ava" display="https://pms.arib.pria.ee/pms-menetlus/ - /router?komponent=taotlus&amp;id=619573&amp;kuva=ava"/>
    <hyperlink ref="C106" r:id="rId21" location="/router?komponent=taotlus&amp;id=621987&amp;kuva=ava" display="https://pms.arib.pria.ee/pms-menetlus/ - /router?komponent=taotlus&amp;id=621987&amp;kuva=ava"/>
    <hyperlink ref="C107" r:id="rId22" location="/router?komponent=taotlus&amp;id=615029&amp;kuva=ava" display="https://pms.arib.pria.ee/pms-menetlus/ - /router?komponent=taotlus&amp;id=615029&amp;kuva=ava"/>
    <hyperlink ref="C108" r:id="rId23" location="/router?komponent=taotlus&amp;id=613328&amp;kuva=ava" display="https://pms.arib.pria.ee/pms-menetlus/ - /router?komponent=taotlus&amp;id=613328&amp;kuva=ava"/>
    <hyperlink ref="C109" r:id="rId24" location="/router?komponent=taotlus&amp;id=620040&amp;kuva=ava" display="https://pms.arib.pria.ee/pms-menetlus/ - /router?komponent=taotlus&amp;id=620040&amp;kuva=ava"/>
    <hyperlink ref="C110" r:id="rId25" location="/router?komponent=taotlus&amp;id=617995&amp;kuva=ava" display="https://pms.arib.pria.ee/pms-menetlus/ - /router?komponent=taotlus&amp;id=617995&amp;kuva=ava"/>
    <hyperlink ref="C111" r:id="rId26" location="/router?komponent=taotlus&amp;id=612910&amp;kuva=ava" display="https://pms.arib.pria.ee/pms-menetlus/ - /router?komponent=taotlus&amp;id=612910&amp;kuva=ava"/>
    <hyperlink ref="C112" r:id="rId27" location="/router?komponent=taotlus&amp;id=613366&amp;kuva=ava" display="https://pms.arib.pria.ee/pms-menetlus/ - /router?komponent=taotlus&amp;id=613366&amp;kuva=ava"/>
  </hyperlinks>
  <pageMargins left="0.7" right="0.7" top="0.75" bottom="0.75" header="0.3" footer="0.3"/>
  <pageSetup paperSize="9" orientation="portrait" r:id="rId28"/>
  <ignoredErrors>
    <ignoredError sqref="C18:D18 C3:C17 C19:C3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0"/>
  <sheetViews>
    <sheetView workbookViewId="0">
      <pane ySplit="2" topLeftCell="A562" activePane="bottomLeft" state="frozen"/>
      <selection pane="bottomLeft" activeCell="H518" sqref="H518"/>
    </sheetView>
  </sheetViews>
  <sheetFormatPr defaultRowHeight="15" x14ac:dyDescent="0.25"/>
  <cols>
    <col min="1" max="1" width="16.140625" bestFit="1" customWidth="1"/>
    <col min="2" max="2" width="59.42578125" customWidth="1"/>
    <col min="3" max="3" width="19.140625" style="669" customWidth="1"/>
    <col min="4" max="4" width="16.85546875" style="679" customWidth="1"/>
    <col min="5" max="5" width="17.85546875" customWidth="1"/>
  </cols>
  <sheetData>
    <row r="1" spans="1:5" ht="15.75" x14ac:dyDescent="0.25">
      <c r="A1" s="861" t="s">
        <v>26</v>
      </c>
      <c r="B1" s="862"/>
      <c r="C1" s="862"/>
      <c r="D1" s="862"/>
      <c r="E1" s="863"/>
    </row>
    <row r="2" spans="1:5" ht="15.75" thickBot="1" x14ac:dyDescent="0.3">
      <c r="A2" s="53" t="s">
        <v>6</v>
      </c>
      <c r="B2" s="54" t="s">
        <v>2</v>
      </c>
      <c r="C2" s="666" t="s">
        <v>0</v>
      </c>
      <c r="D2" s="666" t="s">
        <v>1</v>
      </c>
      <c r="E2" s="57" t="s">
        <v>464</v>
      </c>
    </row>
    <row r="3" spans="1:5" x14ac:dyDescent="0.25">
      <c r="A3" s="58" t="s">
        <v>421</v>
      </c>
      <c r="B3" s="112" t="s">
        <v>422</v>
      </c>
      <c r="C3" s="667" t="str">
        <f>"619216780611"</f>
        <v>619216780611</v>
      </c>
      <c r="D3" s="157">
        <v>3.83</v>
      </c>
      <c r="E3" s="39" t="s">
        <v>419</v>
      </c>
    </row>
    <row r="4" spans="1:5" x14ac:dyDescent="0.25">
      <c r="A4" s="60" t="s">
        <v>421</v>
      </c>
      <c r="B4" s="113" t="s">
        <v>422</v>
      </c>
      <c r="C4" s="668" t="str">
        <f>"619216650672"</f>
        <v>619216650672</v>
      </c>
      <c r="D4" s="13">
        <v>3.7</v>
      </c>
      <c r="E4" s="41" t="s">
        <v>419</v>
      </c>
    </row>
    <row r="5" spans="1:5" x14ac:dyDescent="0.25">
      <c r="A5" s="60" t="s">
        <v>421</v>
      </c>
      <c r="B5" s="113" t="s">
        <v>422</v>
      </c>
      <c r="C5" s="668" t="str">
        <f>"619216780717"</f>
        <v>619216780717</v>
      </c>
      <c r="D5" s="13">
        <v>3.62</v>
      </c>
      <c r="E5" s="41" t="s">
        <v>419</v>
      </c>
    </row>
    <row r="6" spans="1:5" x14ac:dyDescent="0.25">
      <c r="A6" s="60" t="s">
        <v>421</v>
      </c>
      <c r="B6" s="113" t="s">
        <v>422</v>
      </c>
      <c r="C6" s="668" t="str">
        <f>"619216650617"</f>
        <v>619216650617</v>
      </c>
      <c r="D6" s="13">
        <v>3.62</v>
      </c>
      <c r="E6" s="41" t="s">
        <v>419</v>
      </c>
    </row>
    <row r="7" spans="1:5" x14ac:dyDescent="0.25">
      <c r="A7" s="60" t="s">
        <v>421</v>
      </c>
      <c r="B7" s="113" t="s">
        <v>422</v>
      </c>
      <c r="C7" s="668" t="str">
        <f>"619216650678"</f>
        <v>619216650678</v>
      </c>
      <c r="D7" s="13">
        <v>3.57</v>
      </c>
      <c r="E7" s="41" t="s">
        <v>419</v>
      </c>
    </row>
    <row r="8" spans="1:5" x14ac:dyDescent="0.25">
      <c r="A8" s="60" t="s">
        <v>421</v>
      </c>
      <c r="B8" s="113" t="s">
        <v>422</v>
      </c>
      <c r="C8" s="668" t="str">
        <f>"619216650666"</f>
        <v>619216650666</v>
      </c>
      <c r="D8" s="13">
        <v>3.45</v>
      </c>
      <c r="E8" s="41" t="s">
        <v>419</v>
      </c>
    </row>
    <row r="9" spans="1:5" x14ac:dyDescent="0.25">
      <c r="A9" s="60" t="s">
        <v>421</v>
      </c>
      <c r="B9" s="113" t="s">
        <v>422</v>
      </c>
      <c r="C9" s="668" t="str">
        <f>"619216650708"</f>
        <v>619216650708</v>
      </c>
      <c r="D9" s="13">
        <v>3.4</v>
      </c>
      <c r="E9" s="41" t="s">
        <v>419</v>
      </c>
    </row>
    <row r="10" spans="1:5" x14ac:dyDescent="0.25">
      <c r="A10" s="60" t="s">
        <v>421</v>
      </c>
      <c r="B10" s="113" t="s">
        <v>422</v>
      </c>
      <c r="C10" s="668" t="str">
        <f>"619216650620"</f>
        <v>619216650620</v>
      </c>
      <c r="D10" s="13">
        <v>3.4</v>
      </c>
      <c r="E10" s="41" t="s">
        <v>419</v>
      </c>
    </row>
    <row r="11" spans="1:5" x14ac:dyDescent="0.25">
      <c r="A11" s="60" t="s">
        <v>421</v>
      </c>
      <c r="B11" s="113" t="s">
        <v>422</v>
      </c>
      <c r="C11" s="668" t="str">
        <f>"619216370651"</f>
        <v>619216370651</v>
      </c>
      <c r="D11" s="13">
        <v>3.38</v>
      </c>
      <c r="E11" s="41" t="s">
        <v>419</v>
      </c>
    </row>
    <row r="12" spans="1:5" x14ac:dyDescent="0.25">
      <c r="A12" s="60" t="s">
        <v>421</v>
      </c>
      <c r="B12" s="113" t="s">
        <v>422</v>
      </c>
      <c r="C12" s="668" t="str">
        <f>"619216650648"</f>
        <v>619216650648</v>
      </c>
      <c r="D12" s="13">
        <v>3.38</v>
      </c>
      <c r="E12" s="41" t="s">
        <v>419</v>
      </c>
    </row>
    <row r="13" spans="1:5" x14ac:dyDescent="0.25">
      <c r="A13" s="60" t="s">
        <v>421</v>
      </c>
      <c r="B13" s="113" t="s">
        <v>422</v>
      </c>
      <c r="C13" s="668" t="str">
        <f>"619216650631"</f>
        <v>619216650631</v>
      </c>
      <c r="D13" s="13">
        <v>3.37</v>
      </c>
      <c r="E13" s="41" t="s">
        <v>419</v>
      </c>
    </row>
    <row r="14" spans="1:5" x14ac:dyDescent="0.25">
      <c r="A14" s="60" t="s">
        <v>421</v>
      </c>
      <c r="B14" s="113" t="s">
        <v>422</v>
      </c>
      <c r="C14" s="668" t="str">
        <f>"619216780665"</f>
        <v>619216780665</v>
      </c>
      <c r="D14" s="13">
        <v>3.36</v>
      </c>
      <c r="E14" s="41" t="s">
        <v>419</v>
      </c>
    </row>
    <row r="15" spans="1:5" x14ac:dyDescent="0.25">
      <c r="A15" s="60" t="s">
        <v>421</v>
      </c>
      <c r="B15" s="113" t="s">
        <v>422</v>
      </c>
      <c r="C15" s="668" t="str">
        <f>"619216650643"</f>
        <v>619216650643</v>
      </c>
      <c r="D15" s="13">
        <v>3.33</v>
      </c>
      <c r="E15" s="41" t="s">
        <v>419</v>
      </c>
    </row>
    <row r="16" spans="1:5" x14ac:dyDescent="0.25">
      <c r="A16" s="60" t="s">
        <v>421</v>
      </c>
      <c r="B16" s="113" t="s">
        <v>422</v>
      </c>
      <c r="C16" s="668" t="str">
        <f>"619216650676"</f>
        <v>619216650676</v>
      </c>
      <c r="D16" s="13">
        <v>3.31</v>
      </c>
      <c r="E16" s="41" t="s">
        <v>419</v>
      </c>
    </row>
    <row r="17" spans="1:5" x14ac:dyDescent="0.25">
      <c r="A17" s="60" t="s">
        <v>421</v>
      </c>
      <c r="B17" s="113" t="s">
        <v>422</v>
      </c>
      <c r="C17" s="668" t="str">
        <f>"619216650700"</f>
        <v>619216650700</v>
      </c>
      <c r="D17" s="13">
        <v>3.3</v>
      </c>
      <c r="E17" s="41" t="s">
        <v>419</v>
      </c>
    </row>
    <row r="18" spans="1:5" x14ac:dyDescent="0.25">
      <c r="A18" s="60" t="s">
        <v>421</v>
      </c>
      <c r="B18" s="113" t="s">
        <v>422</v>
      </c>
      <c r="C18" s="668" t="str">
        <f>"619216650621"</f>
        <v>619216650621</v>
      </c>
      <c r="D18" s="13">
        <v>3.21</v>
      </c>
      <c r="E18" s="41" t="s">
        <v>419</v>
      </c>
    </row>
    <row r="19" spans="1:5" x14ac:dyDescent="0.25">
      <c r="A19" s="60" t="s">
        <v>421</v>
      </c>
      <c r="B19" s="113" t="s">
        <v>422</v>
      </c>
      <c r="C19" s="668" t="str">
        <f>"619216650723"</f>
        <v>619216650723</v>
      </c>
      <c r="D19" s="13">
        <v>3.2</v>
      </c>
      <c r="E19" s="41" t="s">
        <v>419</v>
      </c>
    </row>
    <row r="20" spans="1:5" x14ac:dyDescent="0.25">
      <c r="A20" s="60" t="s">
        <v>421</v>
      </c>
      <c r="B20" s="113" t="s">
        <v>422</v>
      </c>
      <c r="C20" s="668" t="str">
        <f>"619216650655"</f>
        <v>619216650655</v>
      </c>
      <c r="D20" s="13">
        <v>3.12</v>
      </c>
      <c r="E20" s="66" t="s">
        <v>420</v>
      </c>
    </row>
    <row r="21" spans="1:5" x14ac:dyDescent="0.25">
      <c r="A21" s="60" t="s">
        <v>421</v>
      </c>
      <c r="B21" s="113" t="s">
        <v>422</v>
      </c>
      <c r="C21" s="668" t="str">
        <f>"619216650653"</f>
        <v>619216650653</v>
      </c>
      <c r="D21" s="13">
        <v>3.08</v>
      </c>
      <c r="E21" s="66" t="s">
        <v>420</v>
      </c>
    </row>
    <row r="22" spans="1:5" x14ac:dyDescent="0.25">
      <c r="A22" s="60" t="s">
        <v>421</v>
      </c>
      <c r="B22" s="113" t="s">
        <v>422</v>
      </c>
      <c r="C22" s="668" t="str">
        <f>"619216370633"</f>
        <v>619216370633</v>
      </c>
      <c r="D22" s="13">
        <v>3.03</v>
      </c>
      <c r="E22" s="66" t="s">
        <v>420</v>
      </c>
    </row>
    <row r="23" spans="1:5" x14ac:dyDescent="0.25">
      <c r="A23" s="60" t="s">
        <v>421</v>
      </c>
      <c r="B23" s="113" t="s">
        <v>422</v>
      </c>
      <c r="C23" s="668" t="str">
        <f>"619316650039"</f>
        <v>619316650039</v>
      </c>
      <c r="D23" s="13">
        <v>3.03</v>
      </c>
      <c r="E23" s="66" t="s">
        <v>420</v>
      </c>
    </row>
    <row r="24" spans="1:5" x14ac:dyDescent="0.25">
      <c r="A24" s="60" t="s">
        <v>421</v>
      </c>
      <c r="B24" s="113" t="s">
        <v>422</v>
      </c>
      <c r="C24" s="668" t="str">
        <f>"619216650719"</f>
        <v>619216650719</v>
      </c>
      <c r="D24" s="13">
        <v>3.02</v>
      </c>
      <c r="E24" s="66" t="s">
        <v>420</v>
      </c>
    </row>
    <row r="25" spans="1:5" x14ac:dyDescent="0.25">
      <c r="A25" s="60" t="s">
        <v>421</v>
      </c>
      <c r="B25" s="113" t="s">
        <v>422</v>
      </c>
      <c r="C25" s="668" t="str">
        <f>"619216650658"</f>
        <v>619216650658</v>
      </c>
      <c r="D25" s="13">
        <v>3.02</v>
      </c>
      <c r="E25" s="66" t="s">
        <v>420</v>
      </c>
    </row>
    <row r="26" spans="1:5" x14ac:dyDescent="0.25">
      <c r="A26" s="60" t="s">
        <v>421</v>
      </c>
      <c r="B26" s="113" t="s">
        <v>422</v>
      </c>
      <c r="C26" s="668" t="str">
        <f>"619216650649"</f>
        <v>619216650649</v>
      </c>
      <c r="D26" s="13">
        <v>3.01</v>
      </c>
      <c r="E26" s="66" t="s">
        <v>420</v>
      </c>
    </row>
    <row r="27" spans="1:5" x14ac:dyDescent="0.25">
      <c r="A27" s="60" t="s">
        <v>421</v>
      </c>
      <c r="B27" s="113" t="s">
        <v>422</v>
      </c>
      <c r="C27" s="668" t="str">
        <f>"619216650668"</f>
        <v>619216650668</v>
      </c>
      <c r="D27" s="13">
        <v>2.98</v>
      </c>
      <c r="E27" s="66" t="s">
        <v>420</v>
      </c>
    </row>
    <row r="28" spans="1:5" x14ac:dyDescent="0.25">
      <c r="A28" s="60" t="s">
        <v>421</v>
      </c>
      <c r="B28" s="113" t="s">
        <v>422</v>
      </c>
      <c r="C28" s="668" t="str">
        <f>"619216650715"</f>
        <v>619216650715</v>
      </c>
      <c r="D28" s="13">
        <v>2.97</v>
      </c>
      <c r="E28" s="66" t="s">
        <v>420</v>
      </c>
    </row>
    <row r="29" spans="1:5" x14ac:dyDescent="0.25">
      <c r="A29" s="60" t="s">
        <v>421</v>
      </c>
      <c r="B29" s="113" t="s">
        <v>422</v>
      </c>
      <c r="C29" s="668" t="str">
        <f>"619216650636"</f>
        <v>619216650636</v>
      </c>
      <c r="D29" s="13">
        <v>2.96</v>
      </c>
      <c r="E29" s="66" t="s">
        <v>420</v>
      </c>
    </row>
    <row r="30" spans="1:5" x14ac:dyDescent="0.25">
      <c r="A30" s="60" t="s">
        <v>421</v>
      </c>
      <c r="B30" s="113" t="s">
        <v>422</v>
      </c>
      <c r="C30" s="668" t="str">
        <f>"619216650681"</f>
        <v>619216650681</v>
      </c>
      <c r="D30" s="13">
        <v>2.95</v>
      </c>
      <c r="E30" s="66" t="s">
        <v>420</v>
      </c>
    </row>
    <row r="31" spans="1:5" x14ac:dyDescent="0.25">
      <c r="A31" s="60" t="s">
        <v>421</v>
      </c>
      <c r="B31" s="113" t="s">
        <v>422</v>
      </c>
      <c r="C31" s="668" t="str">
        <f>"619216650703"</f>
        <v>619216650703</v>
      </c>
      <c r="D31" s="13">
        <v>2.95</v>
      </c>
      <c r="E31" s="66" t="s">
        <v>420</v>
      </c>
    </row>
    <row r="32" spans="1:5" x14ac:dyDescent="0.25">
      <c r="A32" s="60" t="s">
        <v>421</v>
      </c>
      <c r="B32" s="113" t="s">
        <v>422</v>
      </c>
      <c r="C32" s="668" t="str">
        <f>"619216650650"</f>
        <v>619216650650</v>
      </c>
      <c r="D32" s="13">
        <v>2.95</v>
      </c>
      <c r="E32" s="66" t="s">
        <v>420</v>
      </c>
    </row>
    <row r="33" spans="1:5" x14ac:dyDescent="0.25">
      <c r="A33" s="60" t="s">
        <v>421</v>
      </c>
      <c r="B33" s="113" t="s">
        <v>422</v>
      </c>
      <c r="C33" s="668" t="str">
        <f>"619216650635"</f>
        <v>619216650635</v>
      </c>
      <c r="D33" s="13">
        <v>2.93</v>
      </c>
      <c r="E33" s="66" t="s">
        <v>420</v>
      </c>
    </row>
    <row r="34" spans="1:5" x14ac:dyDescent="0.25">
      <c r="A34" s="60" t="s">
        <v>421</v>
      </c>
      <c r="B34" s="113" t="s">
        <v>422</v>
      </c>
      <c r="C34" s="668" t="str">
        <f>"619216650716"</f>
        <v>619216650716</v>
      </c>
      <c r="D34" s="13">
        <v>2.91</v>
      </c>
      <c r="E34" s="66" t="s">
        <v>420</v>
      </c>
    </row>
    <row r="35" spans="1:5" x14ac:dyDescent="0.25">
      <c r="A35" s="60" t="s">
        <v>421</v>
      </c>
      <c r="B35" s="113" t="s">
        <v>422</v>
      </c>
      <c r="C35" s="668" t="str">
        <f>"619216780656"</f>
        <v>619216780656</v>
      </c>
      <c r="D35" s="13">
        <v>2.89</v>
      </c>
      <c r="E35" s="66" t="s">
        <v>420</v>
      </c>
    </row>
    <row r="36" spans="1:5" x14ac:dyDescent="0.25">
      <c r="A36" s="60" t="s">
        <v>421</v>
      </c>
      <c r="B36" s="113" t="s">
        <v>422</v>
      </c>
      <c r="C36" s="668" t="str">
        <f>"619216650727"</f>
        <v>619216650727</v>
      </c>
      <c r="D36" s="13">
        <v>2.88</v>
      </c>
      <c r="E36" s="66" t="s">
        <v>420</v>
      </c>
    </row>
    <row r="37" spans="1:5" x14ac:dyDescent="0.25">
      <c r="A37" s="60" t="s">
        <v>421</v>
      </c>
      <c r="B37" s="113" t="s">
        <v>422</v>
      </c>
      <c r="C37" s="668" t="str">
        <f>"619216650687"</f>
        <v>619216650687</v>
      </c>
      <c r="D37" s="13">
        <v>2.87</v>
      </c>
      <c r="E37" s="66" t="s">
        <v>420</v>
      </c>
    </row>
    <row r="38" spans="1:5" x14ac:dyDescent="0.25">
      <c r="A38" s="60" t="s">
        <v>421</v>
      </c>
      <c r="B38" s="113" t="s">
        <v>422</v>
      </c>
      <c r="C38" s="668" t="str">
        <f>"619216650725"</f>
        <v>619216650725</v>
      </c>
      <c r="D38" s="13">
        <v>2.86</v>
      </c>
      <c r="E38" s="66" t="s">
        <v>420</v>
      </c>
    </row>
    <row r="39" spans="1:5" x14ac:dyDescent="0.25">
      <c r="A39" s="60" t="s">
        <v>421</v>
      </c>
      <c r="B39" s="113" t="s">
        <v>422</v>
      </c>
      <c r="C39" s="668" t="str">
        <f>"619216780618"</f>
        <v>619216780618</v>
      </c>
      <c r="D39" s="13">
        <v>2.84</v>
      </c>
      <c r="E39" s="66" t="s">
        <v>420</v>
      </c>
    </row>
    <row r="40" spans="1:5" x14ac:dyDescent="0.25">
      <c r="A40" s="60" t="s">
        <v>421</v>
      </c>
      <c r="B40" s="113" t="s">
        <v>422</v>
      </c>
      <c r="C40" s="668" t="str">
        <f>"619216650689"</f>
        <v>619216650689</v>
      </c>
      <c r="D40" s="13">
        <v>2.83</v>
      </c>
      <c r="E40" s="66" t="s">
        <v>420</v>
      </c>
    </row>
    <row r="41" spans="1:5" x14ac:dyDescent="0.25">
      <c r="A41" s="60" t="s">
        <v>421</v>
      </c>
      <c r="B41" s="113" t="s">
        <v>422</v>
      </c>
      <c r="C41" s="668" t="str">
        <f>"619216650702"</f>
        <v>619216650702</v>
      </c>
      <c r="D41" s="13">
        <v>2.83</v>
      </c>
      <c r="E41" s="66" t="s">
        <v>420</v>
      </c>
    </row>
    <row r="42" spans="1:5" x14ac:dyDescent="0.25">
      <c r="A42" s="60" t="s">
        <v>421</v>
      </c>
      <c r="B42" s="113" t="s">
        <v>422</v>
      </c>
      <c r="C42" s="668" t="str">
        <f>"619216650646"</f>
        <v>619216650646</v>
      </c>
      <c r="D42" s="13">
        <v>2.82</v>
      </c>
      <c r="E42" s="66" t="s">
        <v>420</v>
      </c>
    </row>
    <row r="43" spans="1:5" x14ac:dyDescent="0.25">
      <c r="A43" s="60" t="s">
        <v>421</v>
      </c>
      <c r="B43" s="113" t="s">
        <v>422</v>
      </c>
      <c r="C43" s="668" t="str">
        <f>"619216650638"</f>
        <v>619216650638</v>
      </c>
      <c r="D43" s="13">
        <v>2.74</v>
      </c>
      <c r="E43" s="66" t="s">
        <v>420</v>
      </c>
    </row>
    <row r="44" spans="1:5" x14ac:dyDescent="0.25">
      <c r="A44" s="60" t="s">
        <v>421</v>
      </c>
      <c r="B44" s="113" t="s">
        <v>422</v>
      </c>
      <c r="C44" s="668" t="str">
        <f>"619216780623"</f>
        <v>619216780623</v>
      </c>
      <c r="D44" s="13">
        <v>2.73</v>
      </c>
      <c r="E44" s="66" t="s">
        <v>420</v>
      </c>
    </row>
    <row r="45" spans="1:5" x14ac:dyDescent="0.25">
      <c r="A45" s="60" t="s">
        <v>421</v>
      </c>
      <c r="B45" s="113" t="s">
        <v>422</v>
      </c>
      <c r="C45" s="668" t="str">
        <f>"619216650629"</f>
        <v>619216650629</v>
      </c>
      <c r="D45" s="13">
        <v>2.7</v>
      </c>
      <c r="E45" s="66" t="s">
        <v>420</v>
      </c>
    </row>
    <row r="46" spans="1:5" x14ac:dyDescent="0.25">
      <c r="A46" s="60" t="s">
        <v>421</v>
      </c>
      <c r="B46" s="113" t="s">
        <v>422</v>
      </c>
      <c r="C46" s="668" t="str">
        <f>"619216650712"</f>
        <v>619216650712</v>
      </c>
      <c r="D46" s="13">
        <v>2.62</v>
      </c>
      <c r="E46" s="66" t="s">
        <v>420</v>
      </c>
    </row>
    <row r="47" spans="1:5" x14ac:dyDescent="0.25">
      <c r="A47" s="60" t="s">
        <v>421</v>
      </c>
      <c r="B47" s="113" t="s">
        <v>422</v>
      </c>
      <c r="C47" s="668" t="str">
        <f>"619216650701"</f>
        <v>619216650701</v>
      </c>
      <c r="D47" s="13">
        <v>2.62</v>
      </c>
      <c r="E47" s="66" t="s">
        <v>420</v>
      </c>
    </row>
    <row r="48" spans="1:5" x14ac:dyDescent="0.25">
      <c r="A48" s="60" t="s">
        <v>421</v>
      </c>
      <c r="B48" s="113" t="s">
        <v>422</v>
      </c>
      <c r="C48" s="668" t="str">
        <f>"619216650714"</f>
        <v>619216650714</v>
      </c>
      <c r="D48" s="13">
        <v>2.59</v>
      </c>
      <c r="E48" s="66" t="s">
        <v>420</v>
      </c>
    </row>
    <row r="49" spans="1:5" x14ac:dyDescent="0.25">
      <c r="A49" s="60" t="s">
        <v>421</v>
      </c>
      <c r="B49" s="113" t="s">
        <v>422</v>
      </c>
      <c r="C49" s="668" t="str">
        <f>"619216650639"</f>
        <v>619216650639</v>
      </c>
      <c r="D49" s="13">
        <v>2.54</v>
      </c>
      <c r="E49" s="66" t="s">
        <v>420</v>
      </c>
    </row>
    <row r="50" spans="1:5" x14ac:dyDescent="0.25">
      <c r="A50" s="60" t="s">
        <v>421</v>
      </c>
      <c r="B50" s="113" t="s">
        <v>422</v>
      </c>
      <c r="C50" s="668" t="str">
        <f>"619216650698"</f>
        <v>619216650698</v>
      </c>
      <c r="D50" s="13">
        <v>2.48</v>
      </c>
      <c r="E50" s="66" t="s">
        <v>420</v>
      </c>
    </row>
    <row r="51" spans="1:5" x14ac:dyDescent="0.25">
      <c r="A51" s="60" t="s">
        <v>421</v>
      </c>
      <c r="B51" s="113" t="s">
        <v>422</v>
      </c>
      <c r="C51" s="668" t="str">
        <f>"619216650690"</f>
        <v>619216650690</v>
      </c>
      <c r="D51" s="13">
        <v>2.48</v>
      </c>
      <c r="E51" s="66" t="s">
        <v>420</v>
      </c>
    </row>
    <row r="52" spans="1:5" x14ac:dyDescent="0.25">
      <c r="A52" s="60" t="s">
        <v>421</v>
      </c>
      <c r="B52" s="113" t="s">
        <v>422</v>
      </c>
      <c r="C52" s="668" t="str">
        <f>"619216650713"</f>
        <v>619216650713</v>
      </c>
      <c r="D52" s="13">
        <v>2.48</v>
      </c>
      <c r="E52" s="66" t="s">
        <v>420</v>
      </c>
    </row>
    <row r="53" spans="1:5" x14ac:dyDescent="0.25">
      <c r="A53" s="60" t="s">
        <v>421</v>
      </c>
      <c r="B53" s="113" t="s">
        <v>422</v>
      </c>
      <c r="C53" s="668" t="str">
        <f>"619216650642"</f>
        <v>619216650642</v>
      </c>
      <c r="D53" s="13">
        <v>2.46</v>
      </c>
      <c r="E53" s="66" t="s">
        <v>420</v>
      </c>
    </row>
    <row r="54" spans="1:5" x14ac:dyDescent="0.25">
      <c r="A54" s="60" t="s">
        <v>421</v>
      </c>
      <c r="B54" s="113" t="s">
        <v>422</v>
      </c>
      <c r="C54" s="668" t="str">
        <f>"619216650692"</f>
        <v>619216650692</v>
      </c>
      <c r="D54" s="13">
        <v>2.37</v>
      </c>
      <c r="E54" s="66" t="s">
        <v>420</v>
      </c>
    </row>
    <row r="55" spans="1:5" x14ac:dyDescent="0.25">
      <c r="A55" s="60" t="s">
        <v>421</v>
      </c>
      <c r="B55" s="113" t="s">
        <v>422</v>
      </c>
      <c r="C55" s="668" t="str">
        <f>"619216650693"</f>
        <v>619216650693</v>
      </c>
      <c r="D55" s="13">
        <v>2.27</v>
      </c>
      <c r="E55" s="66" t="s">
        <v>420</v>
      </c>
    </row>
    <row r="56" spans="1:5" x14ac:dyDescent="0.25">
      <c r="A56" s="60" t="s">
        <v>421</v>
      </c>
      <c r="B56" s="113" t="s">
        <v>422</v>
      </c>
      <c r="C56" s="668" t="str">
        <f>"619216370680"</f>
        <v>619216370680</v>
      </c>
      <c r="D56" s="13">
        <v>2.23</v>
      </c>
      <c r="E56" s="66" t="s">
        <v>420</v>
      </c>
    </row>
    <row r="57" spans="1:5" x14ac:dyDescent="0.25">
      <c r="A57" s="60" t="s">
        <v>421</v>
      </c>
      <c r="B57" s="113" t="s">
        <v>422</v>
      </c>
      <c r="C57" s="668" t="str">
        <f>"619216650718"</f>
        <v>619216650718</v>
      </c>
      <c r="D57" s="13">
        <v>2.15</v>
      </c>
      <c r="E57" s="66" t="s">
        <v>420</v>
      </c>
    </row>
    <row r="58" spans="1:5" ht="15.75" thickBot="1" x14ac:dyDescent="0.3">
      <c r="A58" s="61" t="s">
        <v>421</v>
      </c>
      <c r="B58" s="114" t="s">
        <v>422</v>
      </c>
      <c r="C58" s="668" t="str">
        <f>"619216651235"</f>
        <v>619216651235</v>
      </c>
      <c r="D58" s="158">
        <v>1.95</v>
      </c>
      <c r="E58" s="46" t="s">
        <v>420</v>
      </c>
    </row>
    <row r="59" spans="1:5" x14ac:dyDescent="0.25">
      <c r="A59" s="58" t="s">
        <v>421</v>
      </c>
      <c r="B59" s="115" t="s">
        <v>423</v>
      </c>
      <c r="C59" s="669" t="str">
        <f>"619216651232"</f>
        <v>619216651232</v>
      </c>
      <c r="D59" s="157">
        <v>3.55</v>
      </c>
      <c r="E59" s="39" t="s">
        <v>419</v>
      </c>
    </row>
    <row r="60" spans="1:5" x14ac:dyDescent="0.25">
      <c r="A60" s="60" t="s">
        <v>421</v>
      </c>
      <c r="B60" s="23" t="s">
        <v>423</v>
      </c>
      <c r="C60" s="668" t="str">
        <f>"619216650615"</f>
        <v>619216650615</v>
      </c>
      <c r="D60" s="13">
        <v>3.55</v>
      </c>
      <c r="E60" s="41" t="s">
        <v>419</v>
      </c>
    </row>
    <row r="61" spans="1:5" x14ac:dyDescent="0.25">
      <c r="A61" s="60" t="s">
        <v>421</v>
      </c>
      <c r="B61" s="23" t="s">
        <v>423</v>
      </c>
      <c r="C61" s="668" t="str">
        <f>"619216650711"</f>
        <v>619216650711</v>
      </c>
      <c r="D61" s="13">
        <v>3.35</v>
      </c>
      <c r="E61" s="41" t="s">
        <v>419</v>
      </c>
    </row>
    <row r="62" spans="1:5" x14ac:dyDescent="0.25">
      <c r="A62" s="60" t="s">
        <v>421</v>
      </c>
      <c r="B62" s="23" t="s">
        <v>423</v>
      </c>
      <c r="C62" s="668" t="str">
        <f>"619216650671"</f>
        <v>619216650671</v>
      </c>
      <c r="D62" s="13">
        <v>3.31</v>
      </c>
      <c r="E62" s="41" t="s">
        <v>419</v>
      </c>
    </row>
    <row r="63" spans="1:5" x14ac:dyDescent="0.25">
      <c r="A63" s="60" t="s">
        <v>421</v>
      </c>
      <c r="B63" s="23" t="s">
        <v>423</v>
      </c>
      <c r="C63" s="668" t="str">
        <f>"619216650724"</f>
        <v>619216650724</v>
      </c>
      <c r="D63" s="13">
        <v>3.31</v>
      </c>
      <c r="E63" s="41" t="s">
        <v>419</v>
      </c>
    </row>
    <row r="64" spans="1:5" x14ac:dyDescent="0.25">
      <c r="A64" s="60" t="s">
        <v>421</v>
      </c>
      <c r="B64" s="23" t="s">
        <v>423</v>
      </c>
      <c r="C64" s="668" t="str">
        <f>"619216650640"</f>
        <v>619216650640</v>
      </c>
      <c r="D64" s="13">
        <v>3.26</v>
      </c>
      <c r="E64" s="41" t="s">
        <v>419</v>
      </c>
    </row>
    <row r="65" spans="1:5" x14ac:dyDescent="0.25">
      <c r="A65" s="60" t="s">
        <v>421</v>
      </c>
      <c r="B65" s="23" t="s">
        <v>423</v>
      </c>
      <c r="C65" s="668" t="str">
        <f>"619216650682"</f>
        <v>619216650682</v>
      </c>
      <c r="D65" s="13">
        <v>3.24</v>
      </c>
      <c r="E65" s="41" t="s">
        <v>419</v>
      </c>
    </row>
    <row r="66" spans="1:5" x14ac:dyDescent="0.25">
      <c r="A66" s="60" t="s">
        <v>421</v>
      </c>
      <c r="B66" s="23" t="s">
        <v>423</v>
      </c>
      <c r="C66" s="668" t="str">
        <f>"619216650627"</f>
        <v>619216650627</v>
      </c>
      <c r="D66" s="13">
        <v>3.16</v>
      </c>
      <c r="E66" s="41" t="s">
        <v>419</v>
      </c>
    </row>
    <row r="67" spans="1:5" x14ac:dyDescent="0.25">
      <c r="A67" s="60" t="s">
        <v>421</v>
      </c>
      <c r="B67" s="23" t="s">
        <v>423</v>
      </c>
      <c r="C67" s="668" t="str">
        <f>"619216860705"</f>
        <v>619216860705</v>
      </c>
      <c r="D67" s="13">
        <v>3.12</v>
      </c>
      <c r="E67" s="41" t="s">
        <v>419</v>
      </c>
    </row>
    <row r="68" spans="1:5" x14ac:dyDescent="0.25">
      <c r="A68" s="60" t="s">
        <v>421</v>
      </c>
      <c r="B68" s="23" t="s">
        <v>423</v>
      </c>
      <c r="C68" s="668" t="str">
        <f>"619216650709"</f>
        <v>619216650709</v>
      </c>
      <c r="D68" s="13">
        <v>3.07</v>
      </c>
      <c r="E68" s="41" t="s">
        <v>419</v>
      </c>
    </row>
    <row r="69" spans="1:5" x14ac:dyDescent="0.25">
      <c r="A69" s="60" t="s">
        <v>421</v>
      </c>
      <c r="B69" s="23" t="s">
        <v>423</v>
      </c>
      <c r="C69" s="669" t="str">
        <f>"619216651231"</f>
        <v>619216651231</v>
      </c>
      <c r="D69" s="13">
        <v>3.04</v>
      </c>
      <c r="E69" s="41" t="s">
        <v>419</v>
      </c>
    </row>
    <row r="70" spans="1:5" x14ac:dyDescent="0.25">
      <c r="A70" s="60" t="s">
        <v>421</v>
      </c>
      <c r="B70" s="23" t="s">
        <v>423</v>
      </c>
      <c r="C70" s="668" t="str">
        <f>"619216650632"</f>
        <v>619216650632</v>
      </c>
      <c r="D70" s="13">
        <v>3.02</v>
      </c>
      <c r="E70" s="41" t="s">
        <v>419</v>
      </c>
    </row>
    <row r="71" spans="1:5" x14ac:dyDescent="0.25">
      <c r="A71" s="60" t="s">
        <v>421</v>
      </c>
      <c r="B71" s="23" t="s">
        <v>423</v>
      </c>
      <c r="C71" s="668" t="str">
        <f>"619216650721"</f>
        <v>619216650721</v>
      </c>
      <c r="D71" s="13">
        <v>3.01</v>
      </c>
      <c r="E71" s="41" t="s">
        <v>419</v>
      </c>
    </row>
    <row r="72" spans="1:5" x14ac:dyDescent="0.25">
      <c r="A72" s="60" t="s">
        <v>421</v>
      </c>
      <c r="B72" s="23" t="s">
        <v>423</v>
      </c>
      <c r="C72" s="668" t="str">
        <f>"619216650707"</f>
        <v>619216650707</v>
      </c>
      <c r="D72" s="13">
        <v>2.95</v>
      </c>
      <c r="E72" s="41" t="s">
        <v>419</v>
      </c>
    </row>
    <row r="73" spans="1:5" x14ac:dyDescent="0.25">
      <c r="A73" s="60" t="s">
        <v>421</v>
      </c>
      <c r="B73" s="23" t="s">
        <v>423</v>
      </c>
      <c r="C73" s="668" t="str">
        <f>"619216650670"</f>
        <v>619216650670</v>
      </c>
      <c r="D73" s="13">
        <v>2.89</v>
      </c>
      <c r="E73" s="66" t="s">
        <v>420</v>
      </c>
    </row>
    <row r="74" spans="1:5" x14ac:dyDescent="0.25">
      <c r="A74" s="60" t="s">
        <v>421</v>
      </c>
      <c r="B74" s="23" t="s">
        <v>423</v>
      </c>
      <c r="C74" s="668" t="str">
        <f>"619216860679"</f>
        <v>619216860679</v>
      </c>
      <c r="D74" s="13">
        <v>2.87</v>
      </c>
      <c r="E74" s="66" t="s">
        <v>420</v>
      </c>
    </row>
    <row r="75" spans="1:5" x14ac:dyDescent="0.25">
      <c r="A75" s="60" t="s">
        <v>421</v>
      </c>
      <c r="B75" s="23" t="s">
        <v>423</v>
      </c>
      <c r="C75" s="668" t="str">
        <f>"619216650686"</f>
        <v>619216650686</v>
      </c>
      <c r="D75" s="13">
        <v>2.86</v>
      </c>
      <c r="E75" s="66" t="s">
        <v>420</v>
      </c>
    </row>
    <row r="76" spans="1:5" x14ac:dyDescent="0.25">
      <c r="A76" s="60" t="s">
        <v>421</v>
      </c>
      <c r="B76" s="23" t="s">
        <v>423</v>
      </c>
      <c r="C76" s="668" t="str">
        <f>"619216650722"</f>
        <v>619216650722</v>
      </c>
      <c r="D76" s="13">
        <v>2.86</v>
      </c>
      <c r="E76" s="66" t="s">
        <v>420</v>
      </c>
    </row>
    <row r="77" spans="1:5" x14ac:dyDescent="0.25">
      <c r="A77" s="60" t="s">
        <v>421</v>
      </c>
      <c r="B77" s="23" t="s">
        <v>423</v>
      </c>
      <c r="C77" s="668" t="str">
        <f>"619216650699"</f>
        <v>619216650699</v>
      </c>
      <c r="D77" s="13">
        <v>2.84</v>
      </c>
      <c r="E77" s="66" t="s">
        <v>420</v>
      </c>
    </row>
    <row r="78" spans="1:5" x14ac:dyDescent="0.25">
      <c r="A78" s="60" t="s">
        <v>421</v>
      </c>
      <c r="B78" s="23" t="s">
        <v>423</v>
      </c>
      <c r="C78" s="668" t="str">
        <f>"619216650622"</f>
        <v>619216650622</v>
      </c>
      <c r="D78" s="13">
        <v>2.83</v>
      </c>
      <c r="E78" s="66" t="s">
        <v>420</v>
      </c>
    </row>
    <row r="79" spans="1:5" x14ac:dyDescent="0.25">
      <c r="A79" s="60" t="s">
        <v>421</v>
      </c>
      <c r="B79" s="23" t="s">
        <v>423</v>
      </c>
      <c r="C79" s="668" t="str">
        <f>"619216650628"</f>
        <v>619216650628</v>
      </c>
      <c r="D79" s="13">
        <v>2.79</v>
      </c>
      <c r="E79" s="66" t="s">
        <v>420</v>
      </c>
    </row>
    <row r="80" spans="1:5" x14ac:dyDescent="0.25">
      <c r="A80" s="60" t="s">
        <v>421</v>
      </c>
      <c r="B80" s="23" t="s">
        <v>423</v>
      </c>
      <c r="C80" s="668" t="str">
        <f>"619216651236"</f>
        <v>619216651236</v>
      </c>
      <c r="D80" s="13">
        <v>2.79</v>
      </c>
      <c r="E80" s="66" t="s">
        <v>420</v>
      </c>
    </row>
    <row r="81" spans="1:5" x14ac:dyDescent="0.25">
      <c r="A81" s="60" t="s">
        <v>421</v>
      </c>
      <c r="B81" s="23" t="s">
        <v>423</v>
      </c>
      <c r="C81" s="668" t="str">
        <f>"619216650619"</f>
        <v>619216650619</v>
      </c>
      <c r="D81" s="13">
        <v>2.79</v>
      </c>
      <c r="E81" s="66" t="s">
        <v>420</v>
      </c>
    </row>
    <row r="82" spans="1:5" x14ac:dyDescent="0.25">
      <c r="A82" s="60" t="s">
        <v>421</v>
      </c>
      <c r="B82" s="23" t="s">
        <v>423</v>
      </c>
      <c r="C82" s="668" t="str">
        <f>"619216650677"</f>
        <v>619216650677</v>
      </c>
      <c r="D82" s="13">
        <v>2.78</v>
      </c>
      <c r="E82" s="66" t="s">
        <v>420</v>
      </c>
    </row>
    <row r="83" spans="1:5" x14ac:dyDescent="0.25">
      <c r="A83" s="60" t="s">
        <v>421</v>
      </c>
      <c r="B83" s="23" t="s">
        <v>423</v>
      </c>
      <c r="C83" s="668" t="str">
        <f>"619216650630"</f>
        <v>619216650630</v>
      </c>
      <c r="D83" s="13">
        <v>2.77</v>
      </c>
      <c r="E83" s="66" t="s">
        <v>420</v>
      </c>
    </row>
    <row r="84" spans="1:5" x14ac:dyDescent="0.25">
      <c r="A84" s="60" t="s">
        <v>421</v>
      </c>
      <c r="B84" s="23" t="s">
        <v>423</v>
      </c>
      <c r="C84" s="668" t="str">
        <f>"619216650610"</f>
        <v>619216650610</v>
      </c>
      <c r="D84" s="13">
        <v>2.74</v>
      </c>
      <c r="E84" s="66" t="s">
        <v>420</v>
      </c>
    </row>
    <row r="85" spans="1:5" x14ac:dyDescent="0.25">
      <c r="A85" s="60" t="s">
        <v>421</v>
      </c>
      <c r="B85" s="23" t="s">
        <v>423</v>
      </c>
      <c r="C85" s="668" t="str">
        <f>"619216780616"</f>
        <v>619216780616</v>
      </c>
      <c r="D85" s="13">
        <v>2.72</v>
      </c>
      <c r="E85" s="66" t="s">
        <v>420</v>
      </c>
    </row>
    <row r="86" spans="1:5" x14ac:dyDescent="0.25">
      <c r="A86" s="60" t="s">
        <v>421</v>
      </c>
      <c r="B86" s="23" t="s">
        <v>423</v>
      </c>
      <c r="C86" s="668" t="str">
        <f>"619216651237"</f>
        <v>619216651237</v>
      </c>
      <c r="D86" s="13">
        <v>2.71</v>
      </c>
      <c r="E86" s="66" t="s">
        <v>420</v>
      </c>
    </row>
    <row r="87" spans="1:5" x14ac:dyDescent="0.25">
      <c r="A87" s="60" t="s">
        <v>421</v>
      </c>
      <c r="B87" s="23" t="s">
        <v>423</v>
      </c>
      <c r="C87" s="668" t="str">
        <f>"619216650625"</f>
        <v>619216650625</v>
      </c>
      <c r="D87" s="13">
        <v>2.69</v>
      </c>
      <c r="E87" s="66" t="s">
        <v>420</v>
      </c>
    </row>
    <row r="88" spans="1:5" x14ac:dyDescent="0.25">
      <c r="A88" s="60" t="s">
        <v>421</v>
      </c>
      <c r="B88" s="23" t="s">
        <v>423</v>
      </c>
      <c r="C88" s="668" t="str">
        <f>"619216650674"</f>
        <v>619216650674</v>
      </c>
      <c r="D88" s="13">
        <v>2.69</v>
      </c>
      <c r="E88" s="66" t="s">
        <v>420</v>
      </c>
    </row>
    <row r="89" spans="1:5" x14ac:dyDescent="0.25">
      <c r="A89" s="60" t="s">
        <v>421</v>
      </c>
      <c r="B89" s="23" t="s">
        <v>423</v>
      </c>
      <c r="C89" s="668" t="str">
        <f>"619216650704"</f>
        <v>619216650704</v>
      </c>
      <c r="D89" s="13">
        <v>2.66</v>
      </c>
      <c r="E89" s="66" t="s">
        <v>420</v>
      </c>
    </row>
    <row r="90" spans="1:5" x14ac:dyDescent="0.25">
      <c r="A90" s="60" t="s">
        <v>421</v>
      </c>
      <c r="B90" s="23" t="s">
        <v>423</v>
      </c>
      <c r="C90" s="668" t="str">
        <f>"619216650660"</f>
        <v>619216650660</v>
      </c>
      <c r="D90" s="13">
        <v>2.66</v>
      </c>
      <c r="E90" s="66" t="s">
        <v>420</v>
      </c>
    </row>
    <row r="91" spans="1:5" x14ac:dyDescent="0.25">
      <c r="A91" s="60" t="s">
        <v>421</v>
      </c>
      <c r="B91" s="23" t="s">
        <v>423</v>
      </c>
      <c r="C91" s="668" t="str">
        <f>"619216650720"</f>
        <v>619216650720</v>
      </c>
      <c r="D91" s="13">
        <v>2.65</v>
      </c>
      <c r="E91" s="66" t="s">
        <v>420</v>
      </c>
    </row>
    <row r="92" spans="1:5" x14ac:dyDescent="0.25">
      <c r="A92" s="60" t="s">
        <v>421</v>
      </c>
      <c r="B92" s="23" t="s">
        <v>423</v>
      </c>
      <c r="C92" s="668" t="str">
        <f>"619216650706"</f>
        <v>619216650706</v>
      </c>
      <c r="D92" s="13">
        <v>2.59</v>
      </c>
      <c r="E92" s="66" t="s">
        <v>420</v>
      </c>
    </row>
    <row r="93" spans="1:5" x14ac:dyDescent="0.25">
      <c r="A93" s="60" t="s">
        <v>421</v>
      </c>
      <c r="B93" s="23" t="s">
        <v>423</v>
      </c>
      <c r="C93" s="668" t="str">
        <f>"619216650684"</f>
        <v>619216650684</v>
      </c>
      <c r="D93" s="13">
        <v>2.59</v>
      </c>
      <c r="E93" s="66" t="s">
        <v>420</v>
      </c>
    </row>
    <row r="94" spans="1:5" x14ac:dyDescent="0.25">
      <c r="A94" s="60" t="s">
        <v>421</v>
      </c>
      <c r="B94" s="23" t="s">
        <v>423</v>
      </c>
      <c r="C94" s="668" t="str">
        <f>"619216650726"</f>
        <v>619216650726</v>
      </c>
      <c r="D94" s="13">
        <v>2.58</v>
      </c>
      <c r="E94" s="66" t="s">
        <v>420</v>
      </c>
    </row>
    <row r="95" spans="1:5" x14ac:dyDescent="0.25">
      <c r="A95" s="60" t="s">
        <v>421</v>
      </c>
      <c r="B95" s="23" t="s">
        <v>423</v>
      </c>
      <c r="C95" s="668" t="str">
        <f>"619216650647"</f>
        <v>619216650647</v>
      </c>
      <c r="D95" s="13">
        <v>2.52</v>
      </c>
      <c r="E95" s="66" t="s">
        <v>420</v>
      </c>
    </row>
    <row r="96" spans="1:5" x14ac:dyDescent="0.25">
      <c r="A96" s="60" t="s">
        <v>421</v>
      </c>
      <c r="B96" s="23" t="s">
        <v>423</v>
      </c>
      <c r="C96" s="668" t="str">
        <f>"619216650663"</f>
        <v>619216650663</v>
      </c>
      <c r="D96" s="13">
        <v>2.48</v>
      </c>
      <c r="E96" s="66" t="s">
        <v>420</v>
      </c>
    </row>
    <row r="97" spans="1:5" x14ac:dyDescent="0.25">
      <c r="A97" s="60" t="s">
        <v>421</v>
      </c>
      <c r="B97" s="23" t="s">
        <v>423</v>
      </c>
      <c r="C97" s="668" t="str">
        <f>"619216650695"</f>
        <v>619216650695</v>
      </c>
      <c r="D97" s="13">
        <v>2.4500000000000002</v>
      </c>
      <c r="E97" s="66" t="s">
        <v>420</v>
      </c>
    </row>
    <row r="98" spans="1:5" x14ac:dyDescent="0.25">
      <c r="A98" s="60" t="s">
        <v>421</v>
      </c>
      <c r="B98" s="23" t="s">
        <v>423</v>
      </c>
      <c r="C98" s="668" t="str">
        <f>"619216650685"</f>
        <v>619216650685</v>
      </c>
      <c r="D98" s="13">
        <v>2.39</v>
      </c>
      <c r="E98" s="66" t="s">
        <v>420</v>
      </c>
    </row>
    <row r="99" spans="1:5" ht="15.75" thickBot="1" x14ac:dyDescent="0.3">
      <c r="A99" s="61" t="s">
        <v>421</v>
      </c>
      <c r="B99" s="116" t="s">
        <v>423</v>
      </c>
      <c r="C99" s="670" t="str">
        <f>"619216650673"</f>
        <v>619216650673</v>
      </c>
      <c r="D99" s="158">
        <v>2.19</v>
      </c>
      <c r="E99" s="46" t="s">
        <v>420</v>
      </c>
    </row>
    <row r="100" spans="1:5" x14ac:dyDescent="0.25">
      <c r="A100" s="58" t="s">
        <v>421</v>
      </c>
      <c r="B100" s="126" t="s">
        <v>424</v>
      </c>
      <c r="C100" s="667" t="str">
        <f>"619216650659"</f>
        <v>619216650659</v>
      </c>
      <c r="D100" s="157">
        <v>3.59</v>
      </c>
      <c r="E100" s="39" t="s">
        <v>419</v>
      </c>
    </row>
    <row r="101" spans="1:5" x14ac:dyDescent="0.25">
      <c r="A101" s="60" t="s">
        <v>421</v>
      </c>
      <c r="B101" s="123" t="s">
        <v>424</v>
      </c>
      <c r="C101" s="668" t="str">
        <f>"619216650683"</f>
        <v>619216650683</v>
      </c>
      <c r="D101" s="13">
        <v>3.36</v>
      </c>
      <c r="E101" s="41" t="s">
        <v>419</v>
      </c>
    </row>
    <row r="102" spans="1:5" x14ac:dyDescent="0.25">
      <c r="A102" s="60" t="s">
        <v>421</v>
      </c>
      <c r="B102" s="123" t="s">
        <v>424</v>
      </c>
      <c r="C102" s="668" t="str">
        <f>"619216650667"</f>
        <v>619216650667</v>
      </c>
      <c r="D102" s="13">
        <v>3.31</v>
      </c>
      <c r="E102" s="41" t="s">
        <v>419</v>
      </c>
    </row>
    <row r="103" spans="1:5" x14ac:dyDescent="0.25">
      <c r="A103" s="60" t="s">
        <v>421</v>
      </c>
      <c r="B103" s="123" t="s">
        <v>424</v>
      </c>
      <c r="C103" s="668" t="str">
        <f>"619216650675"</f>
        <v>619216650675</v>
      </c>
      <c r="D103" s="13">
        <v>3.3</v>
      </c>
      <c r="E103" s="41" t="s">
        <v>419</v>
      </c>
    </row>
    <row r="104" spans="1:5" x14ac:dyDescent="0.25">
      <c r="A104" s="60" t="s">
        <v>421</v>
      </c>
      <c r="B104" s="123" t="s">
        <v>424</v>
      </c>
      <c r="C104" s="668" t="str">
        <f>"619216650612"</f>
        <v>619216650612</v>
      </c>
      <c r="D104" s="13">
        <v>3.3</v>
      </c>
      <c r="E104" s="41" t="s">
        <v>419</v>
      </c>
    </row>
    <row r="105" spans="1:5" x14ac:dyDescent="0.25">
      <c r="A105" s="60" t="s">
        <v>421</v>
      </c>
      <c r="B105" s="123" t="s">
        <v>424</v>
      </c>
      <c r="C105" s="668" t="str">
        <f>"619216650654"</f>
        <v>619216650654</v>
      </c>
      <c r="D105" s="13">
        <v>3.14</v>
      </c>
      <c r="E105" s="41" t="s">
        <v>419</v>
      </c>
    </row>
    <row r="106" spans="1:5" x14ac:dyDescent="0.25">
      <c r="A106" s="60" t="s">
        <v>421</v>
      </c>
      <c r="B106" s="123" t="s">
        <v>424</v>
      </c>
      <c r="C106" s="668" t="str">
        <f>"619216650652"</f>
        <v>619216650652</v>
      </c>
      <c r="D106" s="13">
        <v>3.09</v>
      </c>
      <c r="E106" s="41" t="s">
        <v>419</v>
      </c>
    </row>
    <row r="107" spans="1:5" x14ac:dyDescent="0.25">
      <c r="A107" s="60" t="s">
        <v>421</v>
      </c>
      <c r="B107" s="123" t="s">
        <v>424</v>
      </c>
      <c r="C107" s="668" t="str">
        <f>"619216650613"</f>
        <v>619216650613</v>
      </c>
      <c r="D107" s="13">
        <v>3.07</v>
      </c>
      <c r="E107" s="41" t="s">
        <v>419</v>
      </c>
    </row>
    <row r="108" spans="1:5" x14ac:dyDescent="0.25">
      <c r="A108" s="60" t="s">
        <v>421</v>
      </c>
      <c r="B108" s="123" t="s">
        <v>424</v>
      </c>
      <c r="C108" s="668" t="str">
        <f>"619216650662"</f>
        <v>619216650662</v>
      </c>
      <c r="D108" s="13">
        <v>3.06</v>
      </c>
      <c r="E108" s="41" t="s">
        <v>419</v>
      </c>
    </row>
    <row r="109" spans="1:5" x14ac:dyDescent="0.25">
      <c r="A109" s="60" t="s">
        <v>421</v>
      </c>
      <c r="B109" s="123" t="s">
        <v>424</v>
      </c>
      <c r="C109" s="668" t="str">
        <f>"619216650664"</f>
        <v>619216650664</v>
      </c>
      <c r="D109" s="13">
        <v>3.03</v>
      </c>
      <c r="E109" s="41" t="s">
        <v>419</v>
      </c>
    </row>
    <row r="110" spans="1:5" x14ac:dyDescent="0.25">
      <c r="A110" s="60" t="s">
        <v>421</v>
      </c>
      <c r="B110" s="123" t="s">
        <v>424</v>
      </c>
      <c r="C110" s="668" t="str">
        <f>"619216650697"</f>
        <v>619216650697</v>
      </c>
      <c r="D110" s="13">
        <v>3.01</v>
      </c>
      <c r="E110" s="41" t="s">
        <v>419</v>
      </c>
    </row>
    <row r="111" spans="1:5" x14ac:dyDescent="0.25">
      <c r="A111" s="60" t="s">
        <v>421</v>
      </c>
      <c r="B111" s="123" t="s">
        <v>424</v>
      </c>
      <c r="C111" s="668" t="str">
        <f>"619216650696"</f>
        <v>619216650696</v>
      </c>
      <c r="D111" s="13">
        <v>2.98</v>
      </c>
      <c r="E111" s="41" t="s">
        <v>419</v>
      </c>
    </row>
    <row r="112" spans="1:5" x14ac:dyDescent="0.25">
      <c r="A112" s="60" t="s">
        <v>421</v>
      </c>
      <c r="B112" s="123" t="s">
        <v>424</v>
      </c>
      <c r="C112" s="668" t="str">
        <f>"619216650641"</f>
        <v>619216650641</v>
      </c>
      <c r="D112" s="13">
        <v>2.72</v>
      </c>
      <c r="E112" s="66" t="s">
        <v>420</v>
      </c>
    </row>
    <row r="113" spans="1:6" x14ac:dyDescent="0.25">
      <c r="A113" s="60" t="s">
        <v>421</v>
      </c>
      <c r="B113" s="123" t="s">
        <v>424</v>
      </c>
      <c r="C113" s="668" t="str">
        <f>"619216650614"</f>
        <v>619216650614</v>
      </c>
      <c r="D113" s="13">
        <v>2.64</v>
      </c>
      <c r="E113" s="66" t="s">
        <v>420</v>
      </c>
    </row>
    <row r="114" spans="1:6" x14ac:dyDescent="0.25">
      <c r="A114" s="60" t="s">
        <v>421</v>
      </c>
      <c r="B114" s="123" t="s">
        <v>424</v>
      </c>
      <c r="C114" s="668" t="str">
        <f>"619216650710"</f>
        <v>619216650710</v>
      </c>
      <c r="D114" s="13">
        <v>2.63</v>
      </c>
      <c r="E114" s="66" t="s">
        <v>420</v>
      </c>
    </row>
    <row r="115" spans="1:6" x14ac:dyDescent="0.25">
      <c r="A115" s="60" t="s">
        <v>421</v>
      </c>
      <c r="B115" s="123" t="s">
        <v>424</v>
      </c>
      <c r="C115" s="668" t="str">
        <f>"619216650645"</f>
        <v>619216650645</v>
      </c>
      <c r="D115" s="13">
        <v>2.62</v>
      </c>
      <c r="E115" s="66" t="s">
        <v>420</v>
      </c>
    </row>
    <row r="116" spans="1:6" x14ac:dyDescent="0.25">
      <c r="A116" s="60" t="s">
        <v>421</v>
      </c>
      <c r="B116" s="123" t="s">
        <v>424</v>
      </c>
      <c r="C116" s="668" t="str">
        <f>"619216650626"</f>
        <v>619216650626</v>
      </c>
      <c r="D116" s="13">
        <v>2.61</v>
      </c>
      <c r="E116" s="66" t="s">
        <v>420</v>
      </c>
    </row>
    <row r="117" spans="1:6" x14ac:dyDescent="0.25">
      <c r="A117" s="60" t="s">
        <v>421</v>
      </c>
      <c r="B117" s="123" t="s">
        <v>424</v>
      </c>
      <c r="C117" s="668" t="str">
        <f>"619216650688"</f>
        <v>619216650688</v>
      </c>
      <c r="D117" s="13">
        <v>2.52</v>
      </c>
      <c r="E117" s="66" t="s">
        <v>420</v>
      </c>
    </row>
    <row r="118" spans="1:6" x14ac:dyDescent="0.25">
      <c r="A118" s="60" t="s">
        <v>421</v>
      </c>
      <c r="B118" s="123" t="s">
        <v>424</v>
      </c>
      <c r="C118" s="668" t="str">
        <f>"619216650634"</f>
        <v>619216650634</v>
      </c>
      <c r="D118" s="13">
        <v>2.5099999999999998</v>
      </c>
      <c r="E118" s="66" t="s">
        <v>420</v>
      </c>
    </row>
    <row r="119" spans="1:6" x14ac:dyDescent="0.25">
      <c r="A119" s="60" t="s">
        <v>421</v>
      </c>
      <c r="B119" s="123" t="s">
        <v>424</v>
      </c>
      <c r="C119" s="668" t="str">
        <f>"619216780669"</f>
        <v>619216780669</v>
      </c>
      <c r="D119" s="13">
        <v>2.4700000000000002</v>
      </c>
      <c r="E119" s="66" t="s">
        <v>420</v>
      </c>
    </row>
    <row r="120" spans="1:6" x14ac:dyDescent="0.25">
      <c r="A120" s="60" t="s">
        <v>421</v>
      </c>
      <c r="B120" s="123" t="s">
        <v>424</v>
      </c>
      <c r="C120" s="668" t="str">
        <f>"619216780657"</f>
        <v>619216780657</v>
      </c>
      <c r="D120" s="13">
        <v>2.39</v>
      </c>
      <c r="E120" s="66" t="s">
        <v>420</v>
      </c>
    </row>
    <row r="121" spans="1:6" x14ac:dyDescent="0.25">
      <c r="A121" s="60" t="s">
        <v>421</v>
      </c>
      <c r="B121" s="123" t="s">
        <v>424</v>
      </c>
      <c r="C121" s="668" t="str">
        <f>"619216650691"</f>
        <v>619216650691</v>
      </c>
      <c r="D121" s="13">
        <v>2.16</v>
      </c>
      <c r="E121" s="66" t="s">
        <v>420</v>
      </c>
    </row>
    <row r="122" spans="1:6" x14ac:dyDescent="0.25">
      <c r="A122" s="60" t="s">
        <v>421</v>
      </c>
      <c r="B122" s="123" t="s">
        <v>424</v>
      </c>
      <c r="C122" s="668" t="str">
        <f>"619216650694"</f>
        <v>619216650694</v>
      </c>
      <c r="D122" s="13">
        <v>1.94</v>
      </c>
      <c r="E122" s="66" t="s">
        <v>420</v>
      </c>
    </row>
    <row r="123" spans="1:6" ht="15.75" thickBot="1" x14ac:dyDescent="0.3">
      <c r="A123" s="61" t="s">
        <v>421</v>
      </c>
      <c r="B123" s="124" t="s">
        <v>424</v>
      </c>
      <c r="C123" s="670" t="str">
        <f>"619216780624"</f>
        <v>619216780624</v>
      </c>
      <c r="D123" s="158">
        <v>1.71</v>
      </c>
      <c r="E123" s="119" t="s">
        <v>420</v>
      </c>
    </row>
    <row r="124" spans="1:6" x14ac:dyDescent="0.25">
      <c r="A124" s="474" t="s">
        <v>869</v>
      </c>
      <c r="B124" s="363" t="s">
        <v>422</v>
      </c>
      <c r="C124" s="667" t="str">
        <f>"619217652286"</f>
        <v>619217652286</v>
      </c>
      <c r="D124" s="675">
        <v>3.13</v>
      </c>
      <c r="E124" s="225" t="s">
        <v>419</v>
      </c>
      <c r="F124" s="6"/>
    </row>
    <row r="125" spans="1:6" x14ac:dyDescent="0.25">
      <c r="A125" s="476" t="s">
        <v>869</v>
      </c>
      <c r="B125" s="343" t="s">
        <v>422</v>
      </c>
      <c r="C125" s="668" t="str">
        <f>"619217652284"</f>
        <v>619217652284</v>
      </c>
      <c r="D125" s="205">
        <v>3.2</v>
      </c>
      <c r="E125" s="225" t="s">
        <v>419</v>
      </c>
      <c r="F125" s="6"/>
    </row>
    <row r="126" spans="1:6" x14ac:dyDescent="0.25">
      <c r="A126" s="482" t="s">
        <v>869</v>
      </c>
      <c r="B126" s="343" t="s">
        <v>422</v>
      </c>
      <c r="C126" s="668" t="str">
        <f>"619217652283"</f>
        <v>619217652283</v>
      </c>
      <c r="D126" s="205">
        <v>3.4</v>
      </c>
      <c r="E126" s="225" t="s">
        <v>419</v>
      </c>
      <c r="F126" s="6"/>
    </row>
    <row r="127" spans="1:6" x14ac:dyDescent="0.25">
      <c r="A127" s="476" t="s">
        <v>869</v>
      </c>
      <c r="B127" s="343" t="s">
        <v>422</v>
      </c>
      <c r="C127" s="668" t="str">
        <f>"619217782282"</f>
        <v>619217782282</v>
      </c>
      <c r="D127" s="205">
        <v>3.07</v>
      </c>
      <c r="E127" s="225" t="s">
        <v>419</v>
      </c>
      <c r="F127" s="6"/>
    </row>
    <row r="128" spans="1:6" x14ac:dyDescent="0.25">
      <c r="A128" s="476" t="s">
        <v>869</v>
      </c>
      <c r="B128" s="343" t="s">
        <v>422</v>
      </c>
      <c r="C128" s="668" t="str">
        <f>"619217652281"</f>
        <v>619217652281</v>
      </c>
      <c r="D128" s="205">
        <v>3.15</v>
      </c>
      <c r="E128" s="225" t="s">
        <v>419</v>
      </c>
      <c r="F128" s="6"/>
    </row>
    <row r="129" spans="1:6" x14ac:dyDescent="0.25">
      <c r="A129" s="476" t="s">
        <v>869</v>
      </c>
      <c r="B129" s="343" t="s">
        <v>422</v>
      </c>
      <c r="C129" s="668" t="str">
        <f>"619217652277"</f>
        <v>619217652277</v>
      </c>
      <c r="D129" s="205">
        <v>3.18</v>
      </c>
      <c r="E129" s="225" t="s">
        <v>419</v>
      </c>
      <c r="F129" s="6"/>
    </row>
    <row r="130" spans="1:6" x14ac:dyDescent="0.25">
      <c r="A130" s="476" t="s">
        <v>869</v>
      </c>
      <c r="B130" s="343" t="s">
        <v>422</v>
      </c>
      <c r="C130" s="668" t="str">
        <f>"619217652275"</f>
        <v>619217652275</v>
      </c>
      <c r="D130" s="205">
        <v>3.15</v>
      </c>
      <c r="E130" s="225" t="s">
        <v>419</v>
      </c>
      <c r="F130" s="6"/>
    </row>
    <row r="131" spans="1:6" x14ac:dyDescent="0.25">
      <c r="A131" s="476" t="s">
        <v>869</v>
      </c>
      <c r="B131" s="343" t="s">
        <v>422</v>
      </c>
      <c r="C131" s="668" t="str">
        <f>"619217652272"</f>
        <v>619217652272</v>
      </c>
      <c r="D131" s="205">
        <v>3.58</v>
      </c>
      <c r="E131" s="225" t="s">
        <v>419</v>
      </c>
      <c r="F131" s="6"/>
    </row>
    <row r="132" spans="1:6" x14ac:dyDescent="0.25">
      <c r="A132" s="482" t="s">
        <v>869</v>
      </c>
      <c r="B132" s="343" t="s">
        <v>422</v>
      </c>
      <c r="C132" s="668" t="str">
        <f>"619217652268"</f>
        <v>619217652268</v>
      </c>
      <c r="D132" s="205">
        <v>3.33</v>
      </c>
      <c r="E132" s="225" t="s">
        <v>419</v>
      </c>
      <c r="F132" s="6"/>
    </row>
    <row r="133" spans="1:6" x14ac:dyDescent="0.25">
      <c r="A133" s="476" t="s">
        <v>869</v>
      </c>
      <c r="B133" s="343" t="s">
        <v>422</v>
      </c>
      <c r="C133" s="668" t="str">
        <f>"619217652267"</f>
        <v>619217652267</v>
      </c>
      <c r="D133" s="205">
        <v>3.49</v>
      </c>
      <c r="E133" s="225" t="s">
        <v>419</v>
      </c>
      <c r="F133" s="6"/>
    </row>
    <row r="134" spans="1:6" x14ac:dyDescent="0.25">
      <c r="A134" s="476" t="s">
        <v>869</v>
      </c>
      <c r="B134" s="343" t="s">
        <v>422</v>
      </c>
      <c r="C134" s="668" t="str">
        <f>"619217372259"</f>
        <v>619217372259</v>
      </c>
      <c r="D134" s="205">
        <v>3.52</v>
      </c>
      <c r="E134" s="225" t="s">
        <v>419</v>
      </c>
      <c r="F134" s="6"/>
    </row>
    <row r="135" spans="1:6" x14ac:dyDescent="0.25">
      <c r="A135" s="476" t="s">
        <v>869</v>
      </c>
      <c r="B135" s="343" t="s">
        <v>422</v>
      </c>
      <c r="C135" s="668" t="str">
        <f>"619217652256"</f>
        <v>619217652256</v>
      </c>
      <c r="D135" s="205">
        <v>3.31</v>
      </c>
      <c r="E135" s="225" t="s">
        <v>419</v>
      </c>
      <c r="F135" s="6"/>
    </row>
    <row r="136" spans="1:6" x14ac:dyDescent="0.25">
      <c r="A136" s="476" t="s">
        <v>869</v>
      </c>
      <c r="B136" s="343" t="s">
        <v>422</v>
      </c>
      <c r="C136" s="668" t="str">
        <f>"619217652252"</f>
        <v>619217652252</v>
      </c>
      <c r="D136" s="205">
        <v>3.03</v>
      </c>
      <c r="E136" s="225" t="s">
        <v>419</v>
      </c>
      <c r="F136" s="6"/>
    </row>
    <row r="137" spans="1:6" x14ac:dyDescent="0.25">
      <c r="A137" s="476" t="s">
        <v>869</v>
      </c>
      <c r="B137" s="343" t="s">
        <v>422</v>
      </c>
      <c r="C137" s="668" t="str">
        <f>"619217652248"</f>
        <v>619217652248</v>
      </c>
      <c r="D137" s="205">
        <v>3.33</v>
      </c>
      <c r="E137" s="225" t="s">
        <v>419</v>
      </c>
      <c r="F137" s="6"/>
    </row>
    <row r="138" spans="1:6" x14ac:dyDescent="0.25">
      <c r="A138" s="476" t="s">
        <v>869</v>
      </c>
      <c r="B138" s="343" t="s">
        <v>422</v>
      </c>
      <c r="C138" s="668" t="str">
        <f>"619217652244"</f>
        <v>619217652244</v>
      </c>
      <c r="D138" s="205">
        <v>3.63</v>
      </c>
      <c r="E138" s="225" t="s">
        <v>419</v>
      </c>
      <c r="F138" s="6"/>
    </row>
    <row r="139" spans="1:6" x14ac:dyDescent="0.25">
      <c r="A139" s="476" t="s">
        <v>869</v>
      </c>
      <c r="B139" s="343" t="s">
        <v>422</v>
      </c>
      <c r="C139" s="668" t="str">
        <f>"619217652242"</f>
        <v>619217652242</v>
      </c>
      <c r="D139" s="205">
        <v>3.17</v>
      </c>
      <c r="E139" s="225" t="s">
        <v>419</v>
      </c>
      <c r="F139" s="6"/>
    </row>
    <row r="140" spans="1:6" x14ac:dyDescent="0.25">
      <c r="A140" s="476" t="s">
        <v>869</v>
      </c>
      <c r="B140" s="343" t="s">
        <v>422</v>
      </c>
      <c r="C140" s="668" t="str">
        <f>"619217652231"</f>
        <v>619217652231</v>
      </c>
      <c r="D140" s="205">
        <v>3.01</v>
      </c>
      <c r="E140" s="225" t="s">
        <v>419</v>
      </c>
      <c r="F140" s="6"/>
    </row>
    <row r="141" spans="1:6" x14ac:dyDescent="0.25">
      <c r="A141" s="476" t="s">
        <v>869</v>
      </c>
      <c r="B141" s="343" t="s">
        <v>422</v>
      </c>
      <c r="C141" s="668" t="str">
        <f>"619217652225"</f>
        <v>619217652225</v>
      </c>
      <c r="D141" s="205">
        <v>3</v>
      </c>
      <c r="E141" s="225" t="s">
        <v>419</v>
      </c>
      <c r="F141" s="6"/>
    </row>
    <row r="142" spans="1:6" x14ac:dyDescent="0.25">
      <c r="A142" s="482" t="s">
        <v>869</v>
      </c>
      <c r="B142" s="343" t="s">
        <v>422</v>
      </c>
      <c r="C142" s="668" t="str">
        <f>"619217652221"</f>
        <v>619217652221</v>
      </c>
      <c r="D142" s="205">
        <v>3.59</v>
      </c>
      <c r="E142" s="225" t="s">
        <v>419</v>
      </c>
      <c r="F142" s="6"/>
    </row>
    <row r="143" spans="1:6" x14ac:dyDescent="0.25">
      <c r="A143" s="476" t="s">
        <v>869</v>
      </c>
      <c r="B143" s="343" t="s">
        <v>422</v>
      </c>
      <c r="C143" s="668" t="str">
        <f>"619217652218"</f>
        <v>619217652218</v>
      </c>
      <c r="D143" s="205">
        <v>3.35</v>
      </c>
      <c r="E143" s="225" t="s">
        <v>419</v>
      </c>
      <c r="F143" s="6"/>
    </row>
    <row r="144" spans="1:6" x14ac:dyDescent="0.25">
      <c r="A144" s="476" t="s">
        <v>869</v>
      </c>
      <c r="B144" s="343" t="s">
        <v>422</v>
      </c>
      <c r="C144" s="668" t="str">
        <f>"619217652210"</f>
        <v>619217652210</v>
      </c>
      <c r="D144" s="205">
        <v>3.38</v>
      </c>
      <c r="E144" s="225" t="s">
        <v>419</v>
      </c>
      <c r="F144" s="6"/>
    </row>
    <row r="145" spans="1:6" x14ac:dyDescent="0.25">
      <c r="A145" s="476" t="s">
        <v>869</v>
      </c>
      <c r="B145" s="343" t="s">
        <v>422</v>
      </c>
      <c r="C145" s="668" t="str">
        <f>"619217652209"</f>
        <v>619217652209</v>
      </c>
      <c r="D145" s="205">
        <v>3.78</v>
      </c>
      <c r="E145" s="225" t="s">
        <v>419</v>
      </c>
      <c r="F145" s="6"/>
    </row>
    <row r="146" spans="1:6" x14ac:dyDescent="0.25">
      <c r="A146" s="476" t="s">
        <v>869</v>
      </c>
      <c r="B146" s="343" t="s">
        <v>422</v>
      </c>
      <c r="C146" s="668" t="str">
        <f>"619217652208"</f>
        <v>619217652208</v>
      </c>
      <c r="D146" s="205">
        <v>3.48</v>
      </c>
      <c r="E146" s="225" t="s">
        <v>419</v>
      </c>
      <c r="F146" s="6"/>
    </row>
    <row r="147" spans="1:6" x14ac:dyDescent="0.25">
      <c r="A147" s="476" t="s">
        <v>869</v>
      </c>
      <c r="B147" s="343" t="s">
        <v>422</v>
      </c>
      <c r="C147" s="668" t="str">
        <f>"619217652196"</f>
        <v>619217652196</v>
      </c>
      <c r="D147" s="205">
        <v>3.37</v>
      </c>
      <c r="E147" s="225" t="s">
        <v>419</v>
      </c>
      <c r="F147" s="6"/>
    </row>
    <row r="148" spans="1:6" x14ac:dyDescent="0.25">
      <c r="A148" s="482" t="s">
        <v>869</v>
      </c>
      <c r="B148" s="343" t="s">
        <v>422</v>
      </c>
      <c r="C148" s="668" t="str">
        <f>"619217652195"</f>
        <v>619217652195</v>
      </c>
      <c r="D148" s="205">
        <v>4.08</v>
      </c>
      <c r="E148" s="225" t="s">
        <v>419</v>
      </c>
      <c r="F148" s="6"/>
    </row>
    <row r="149" spans="1:6" x14ac:dyDescent="0.25">
      <c r="A149" s="476" t="s">
        <v>869</v>
      </c>
      <c r="B149" s="343" t="s">
        <v>422</v>
      </c>
      <c r="C149" s="668" t="str">
        <f>"619217652193"</f>
        <v>619217652193</v>
      </c>
      <c r="D149" s="205">
        <v>3.32</v>
      </c>
      <c r="E149" s="225" t="s">
        <v>419</v>
      </c>
      <c r="F149" s="6"/>
    </row>
    <row r="150" spans="1:6" x14ac:dyDescent="0.25">
      <c r="A150" s="476" t="s">
        <v>869</v>
      </c>
      <c r="B150" s="343" t="s">
        <v>422</v>
      </c>
      <c r="C150" s="668" t="str">
        <f>"619217862190"</f>
        <v>619217862190</v>
      </c>
      <c r="D150" s="205">
        <v>3.47</v>
      </c>
      <c r="E150" s="225" t="s">
        <v>419</v>
      </c>
      <c r="F150" s="6"/>
    </row>
    <row r="151" spans="1:6" x14ac:dyDescent="0.25">
      <c r="A151" s="476" t="s">
        <v>869</v>
      </c>
      <c r="B151" s="343" t="s">
        <v>422</v>
      </c>
      <c r="C151" s="668" t="str">
        <f>"619217652189"</f>
        <v>619217652189</v>
      </c>
      <c r="D151" s="205">
        <v>3.49</v>
      </c>
      <c r="E151" s="225" t="s">
        <v>419</v>
      </c>
      <c r="F151" s="6"/>
    </row>
    <row r="152" spans="1:6" x14ac:dyDescent="0.25">
      <c r="A152" s="476" t="s">
        <v>869</v>
      </c>
      <c r="B152" s="343" t="s">
        <v>422</v>
      </c>
      <c r="C152" s="668" t="str">
        <f>"619217652187"</f>
        <v>619217652187</v>
      </c>
      <c r="D152" s="205">
        <v>3.48</v>
      </c>
      <c r="E152" s="225" t="s">
        <v>419</v>
      </c>
      <c r="F152" s="6"/>
    </row>
    <row r="153" spans="1:6" x14ac:dyDescent="0.25">
      <c r="A153" s="476" t="s">
        <v>869</v>
      </c>
      <c r="B153" s="343" t="s">
        <v>422</v>
      </c>
      <c r="C153" s="668" t="str">
        <f>"619217652181"</f>
        <v>619217652181</v>
      </c>
      <c r="D153" s="205">
        <v>3.22</v>
      </c>
      <c r="E153" s="225" t="s">
        <v>419</v>
      </c>
      <c r="F153" s="6"/>
    </row>
    <row r="154" spans="1:6" x14ac:dyDescent="0.25">
      <c r="A154" s="476" t="s">
        <v>869</v>
      </c>
      <c r="B154" s="343" t="s">
        <v>422</v>
      </c>
      <c r="C154" s="668" t="str">
        <f>"619217372288"</f>
        <v>619217372288</v>
      </c>
      <c r="D154" s="205">
        <v>2.84</v>
      </c>
      <c r="E154" s="226" t="s">
        <v>420</v>
      </c>
      <c r="F154" s="6"/>
    </row>
    <row r="155" spans="1:6" x14ac:dyDescent="0.25">
      <c r="A155" s="476" t="s">
        <v>869</v>
      </c>
      <c r="B155" s="343" t="s">
        <v>422</v>
      </c>
      <c r="C155" s="668" t="str">
        <f>"619217652287"</f>
        <v>619217652287</v>
      </c>
      <c r="D155" s="205">
        <v>2.79</v>
      </c>
      <c r="E155" s="226" t="s">
        <v>420</v>
      </c>
      <c r="F155" s="6"/>
    </row>
    <row r="156" spans="1:6" x14ac:dyDescent="0.25">
      <c r="A156" s="476" t="s">
        <v>869</v>
      </c>
      <c r="B156" s="343" t="s">
        <v>422</v>
      </c>
      <c r="C156" s="668" t="str">
        <f>"619217652276"</f>
        <v>619217652276</v>
      </c>
      <c r="D156" s="205">
        <v>2.5299999999999998</v>
      </c>
      <c r="E156" s="226" t="s">
        <v>420</v>
      </c>
      <c r="F156" s="6"/>
    </row>
    <row r="157" spans="1:6" x14ac:dyDescent="0.25">
      <c r="A157" s="476" t="s">
        <v>869</v>
      </c>
      <c r="B157" s="343" t="s">
        <v>422</v>
      </c>
      <c r="C157" s="668" t="str">
        <f>"619217652270"</f>
        <v>619217652270</v>
      </c>
      <c r="D157" s="205">
        <v>2.83</v>
      </c>
      <c r="E157" s="226" t="s">
        <v>420</v>
      </c>
      <c r="F157" s="6"/>
    </row>
    <row r="158" spans="1:6" x14ac:dyDescent="0.25">
      <c r="A158" s="482" t="s">
        <v>869</v>
      </c>
      <c r="B158" s="343" t="s">
        <v>422</v>
      </c>
      <c r="C158" s="668" t="str">
        <f>"619217782258"</f>
        <v>619217782258</v>
      </c>
      <c r="D158" s="205">
        <v>2.62</v>
      </c>
      <c r="E158" s="226" t="s">
        <v>420</v>
      </c>
      <c r="F158" s="6"/>
    </row>
    <row r="159" spans="1:6" x14ac:dyDescent="0.25">
      <c r="A159" s="476" t="s">
        <v>869</v>
      </c>
      <c r="B159" s="343" t="s">
        <v>422</v>
      </c>
      <c r="C159" s="668" t="str">
        <f>"619217782257"</f>
        <v>619217782257</v>
      </c>
      <c r="D159" s="205">
        <v>2.83</v>
      </c>
      <c r="E159" s="226" t="s">
        <v>420</v>
      </c>
      <c r="F159" s="6"/>
    </row>
    <row r="160" spans="1:6" x14ac:dyDescent="0.25">
      <c r="A160" s="476" t="s">
        <v>869</v>
      </c>
      <c r="B160" s="343" t="s">
        <v>422</v>
      </c>
      <c r="C160" s="668" t="str">
        <f>"619217782254"</f>
        <v>619217782254</v>
      </c>
      <c r="D160" s="205">
        <v>2.7</v>
      </c>
      <c r="E160" s="226" t="s">
        <v>420</v>
      </c>
      <c r="F160" s="6"/>
    </row>
    <row r="161" spans="1:6" x14ac:dyDescent="0.25">
      <c r="A161" s="476" t="s">
        <v>869</v>
      </c>
      <c r="B161" s="343" t="s">
        <v>422</v>
      </c>
      <c r="C161" s="668" t="str">
        <f>"619217652247"</f>
        <v>619217652247</v>
      </c>
      <c r="D161" s="205">
        <v>2.48</v>
      </c>
      <c r="E161" s="226" t="s">
        <v>420</v>
      </c>
      <c r="F161" s="6"/>
    </row>
    <row r="162" spans="1:6" x14ac:dyDescent="0.25">
      <c r="A162" s="476" t="s">
        <v>869</v>
      </c>
      <c r="B162" s="343" t="s">
        <v>422</v>
      </c>
      <c r="C162" s="668" t="str">
        <f>"619217652240"</f>
        <v>619217652240</v>
      </c>
      <c r="D162" s="205">
        <v>2.8</v>
      </c>
      <c r="E162" s="226" t="s">
        <v>420</v>
      </c>
      <c r="F162" s="6"/>
    </row>
    <row r="163" spans="1:6" x14ac:dyDescent="0.25">
      <c r="A163" s="476" t="s">
        <v>869</v>
      </c>
      <c r="B163" s="343" t="s">
        <v>422</v>
      </c>
      <c r="C163" s="668" t="str">
        <f>"619217652239"</f>
        <v>619217652239</v>
      </c>
      <c r="D163" s="205">
        <v>2.98</v>
      </c>
      <c r="E163" s="226" t="s">
        <v>420</v>
      </c>
      <c r="F163" s="6"/>
    </row>
    <row r="164" spans="1:6" x14ac:dyDescent="0.25">
      <c r="A164" s="482" t="s">
        <v>869</v>
      </c>
      <c r="B164" s="343" t="s">
        <v>422</v>
      </c>
      <c r="C164" s="668" t="str">
        <f>"619217652238"</f>
        <v>619217652238</v>
      </c>
      <c r="D164" s="205">
        <v>2.93</v>
      </c>
      <c r="E164" s="226" t="s">
        <v>420</v>
      </c>
      <c r="F164" s="6"/>
    </row>
    <row r="165" spans="1:6" x14ac:dyDescent="0.25">
      <c r="A165" s="476" t="s">
        <v>869</v>
      </c>
      <c r="B165" s="343" t="s">
        <v>422</v>
      </c>
      <c r="C165" s="668" t="str">
        <f>"619217782236"</f>
        <v>619217782236</v>
      </c>
      <c r="D165" s="205">
        <v>2.57</v>
      </c>
      <c r="E165" s="226" t="s">
        <v>420</v>
      </c>
      <c r="F165" s="6"/>
    </row>
    <row r="166" spans="1:6" x14ac:dyDescent="0.25">
      <c r="A166" s="476" t="s">
        <v>869</v>
      </c>
      <c r="B166" s="343" t="s">
        <v>422</v>
      </c>
      <c r="C166" s="668" t="str">
        <f>"619217652233"</f>
        <v>619217652233</v>
      </c>
      <c r="D166" s="205">
        <v>2.82</v>
      </c>
      <c r="E166" s="226" t="s">
        <v>420</v>
      </c>
      <c r="F166" s="6"/>
    </row>
    <row r="167" spans="1:6" x14ac:dyDescent="0.25">
      <c r="A167" s="476" t="s">
        <v>869</v>
      </c>
      <c r="B167" s="343" t="s">
        <v>422</v>
      </c>
      <c r="C167" s="668" t="str">
        <f>"619217652232"</f>
        <v>619217652232</v>
      </c>
      <c r="D167" s="205">
        <v>2.92</v>
      </c>
      <c r="E167" s="226" t="s">
        <v>420</v>
      </c>
      <c r="F167" s="6"/>
    </row>
    <row r="168" spans="1:6" x14ac:dyDescent="0.25">
      <c r="A168" s="476" t="s">
        <v>869</v>
      </c>
      <c r="B168" s="343" t="s">
        <v>422</v>
      </c>
      <c r="C168" s="668" t="str">
        <f>"619217372229"</f>
        <v>619217372229</v>
      </c>
      <c r="D168" s="205">
        <v>2.85</v>
      </c>
      <c r="E168" s="226" t="s">
        <v>420</v>
      </c>
      <c r="F168" s="6"/>
    </row>
    <row r="169" spans="1:6" x14ac:dyDescent="0.25">
      <c r="A169" s="476" t="s">
        <v>869</v>
      </c>
      <c r="B169" s="343" t="s">
        <v>422</v>
      </c>
      <c r="C169" s="668" t="str">
        <f>"619217652228"</f>
        <v>619217652228</v>
      </c>
      <c r="D169" s="205">
        <v>2.99</v>
      </c>
      <c r="E169" s="226" t="s">
        <v>420</v>
      </c>
      <c r="F169" s="6"/>
    </row>
    <row r="170" spans="1:6" x14ac:dyDescent="0.25">
      <c r="A170" s="476" t="s">
        <v>869</v>
      </c>
      <c r="B170" s="343" t="s">
        <v>422</v>
      </c>
      <c r="C170" s="668" t="str">
        <f>"619217782227"</f>
        <v>619217782227</v>
      </c>
      <c r="D170" s="205">
        <v>2.3199999999999998</v>
      </c>
      <c r="E170" s="226" t="s">
        <v>420</v>
      </c>
      <c r="F170" s="6"/>
    </row>
    <row r="171" spans="1:6" x14ac:dyDescent="0.25">
      <c r="A171" s="476" t="s">
        <v>869</v>
      </c>
      <c r="B171" s="343" t="s">
        <v>422</v>
      </c>
      <c r="C171" s="668" t="str">
        <f>"619217652226"</f>
        <v>619217652226</v>
      </c>
      <c r="D171" s="205">
        <v>2.63</v>
      </c>
      <c r="E171" s="226" t="s">
        <v>420</v>
      </c>
      <c r="F171" s="6"/>
    </row>
    <row r="172" spans="1:6" x14ac:dyDescent="0.25">
      <c r="A172" s="476" t="s">
        <v>869</v>
      </c>
      <c r="B172" s="343" t="s">
        <v>422</v>
      </c>
      <c r="C172" s="668" t="str">
        <f>"619217652222"</f>
        <v>619217652222</v>
      </c>
      <c r="D172" s="205">
        <v>2.9</v>
      </c>
      <c r="E172" s="226" t="s">
        <v>420</v>
      </c>
      <c r="F172" s="6"/>
    </row>
    <row r="173" spans="1:6" x14ac:dyDescent="0.25">
      <c r="A173" s="476" t="s">
        <v>869</v>
      </c>
      <c r="B173" s="343" t="s">
        <v>422</v>
      </c>
      <c r="C173" s="668" t="str">
        <f>"619217652216"</f>
        <v>619217652216</v>
      </c>
      <c r="D173" s="205">
        <v>2.62</v>
      </c>
      <c r="E173" s="226" t="s">
        <v>420</v>
      </c>
      <c r="F173" s="6"/>
    </row>
    <row r="174" spans="1:6" x14ac:dyDescent="0.25">
      <c r="A174" s="482" t="s">
        <v>869</v>
      </c>
      <c r="B174" s="343" t="s">
        <v>422</v>
      </c>
      <c r="C174" s="668" t="str">
        <f>"619217782211"</f>
        <v>619217782211</v>
      </c>
      <c r="D174" s="205">
        <v>2.19</v>
      </c>
      <c r="E174" s="226" t="s">
        <v>420</v>
      </c>
      <c r="F174" s="6"/>
    </row>
    <row r="175" spans="1:6" x14ac:dyDescent="0.25">
      <c r="A175" s="476" t="s">
        <v>869</v>
      </c>
      <c r="B175" s="343" t="s">
        <v>422</v>
      </c>
      <c r="C175" s="668" t="str">
        <f>"619217652206"</f>
        <v>619217652206</v>
      </c>
      <c r="D175" s="205">
        <v>2.93</v>
      </c>
      <c r="E175" s="226" t="s">
        <v>420</v>
      </c>
      <c r="F175" s="6"/>
    </row>
    <row r="176" spans="1:6" x14ac:dyDescent="0.25">
      <c r="A176" s="476" t="s">
        <v>869</v>
      </c>
      <c r="B176" s="343" t="s">
        <v>422</v>
      </c>
      <c r="C176" s="668" t="str">
        <f>"619217782205"</f>
        <v>619217782205</v>
      </c>
      <c r="D176" s="205">
        <v>2.19</v>
      </c>
      <c r="E176" s="226" t="s">
        <v>420</v>
      </c>
      <c r="F176" s="6"/>
    </row>
    <row r="177" spans="1:6" x14ac:dyDescent="0.25">
      <c r="A177" s="476" t="s">
        <v>869</v>
      </c>
      <c r="B177" s="343" t="s">
        <v>422</v>
      </c>
      <c r="C177" s="668" t="str">
        <f>"619217652204"</f>
        <v>619217652204</v>
      </c>
      <c r="D177" s="205">
        <v>2.97</v>
      </c>
      <c r="E177" s="226" t="s">
        <v>420</v>
      </c>
      <c r="F177" s="6"/>
    </row>
    <row r="178" spans="1:6" x14ac:dyDescent="0.25">
      <c r="A178" s="476" t="s">
        <v>869</v>
      </c>
      <c r="B178" s="343" t="s">
        <v>422</v>
      </c>
      <c r="C178" s="668" t="str">
        <f>"619217652198"</f>
        <v>619217652198</v>
      </c>
      <c r="D178" s="205">
        <v>2.65</v>
      </c>
      <c r="E178" s="226" t="s">
        <v>420</v>
      </c>
      <c r="F178" s="6"/>
    </row>
    <row r="179" spans="1:6" x14ac:dyDescent="0.25">
      <c r="A179" s="476" t="s">
        <v>869</v>
      </c>
      <c r="B179" s="343" t="s">
        <v>422</v>
      </c>
      <c r="C179" s="668" t="str">
        <f>"619217652192"</f>
        <v>619217652192</v>
      </c>
      <c r="D179" s="205">
        <v>2.95</v>
      </c>
      <c r="E179" s="226" t="s">
        <v>420</v>
      </c>
      <c r="F179" s="6"/>
    </row>
    <row r="180" spans="1:6" x14ac:dyDescent="0.25">
      <c r="A180" s="482" t="s">
        <v>869</v>
      </c>
      <c r="B180" s="343" t="s">
        <v>422</v>
      </c>
      <c r="C180" s="668" t="str">
        <f>"619217652191"</f>
        <v>619217652191</v>
      </c>
      <c r="D180" s="205">
        <v>2.91</v>
      </c>
      <c r="E180" s="226" t="s">
        <v>420</v>
      </c>
      <c r="F180" s="6"/>
    </row>
    <row r="181" spans="1:6" ht="15.75" thickBot="1" x14ac:dyDescent="0.3">
      <c r="A181" s="483" t="s">
        <v>869</v>
      </c>
      <c r="B181" s="353" t="s">
        <v>422</v>
      </c>
      <c r="C181" s="671" t="str">
        <f>"619217782188"</f>
        <v>619217782188</v>
      </c>
      <c r="D181" s="676">
        <v>2.76</v>
      </c>
      <c r="E181" s="383" t="s">
        <v>420</v>
      </c>
      <c r="F181" s="6"/>
    </row>
    <row r="182" spans="1:6" x14ac:dyDescent="0.25">
      <c r="A182" s="474" t="s">
        <v>869</v>
      </c>
      <c r="B182" s="37" t="s">
        <v>423</v>
      </c>
      <c r="C182" s="667" t="str">
        <f>"619217652280"</f>
        <v>619217652280</v>
      </c>
      <c r="D182" s="675">
        <v>3.04</v>
      </c>
      <c r="E182" s="39" t="s">
        <v>419</v>
      </c>
      <c r="F182" s="6"/>
    </row>
    <row r="183" spans="1:6" x14ac:dyDescent="0.25">
      <c r="A183" s="476" t="s">
        <v>869</v>
      </c>
      <c r="B183" s="14" t="s">
        <v>423</v>
      </c>
      <c r="C183" s="668" t="str">
        <f>"619217652278"</f>
        <v>619217652278</v>
      </c>
      <c r="D183" s="205">
        <v>3.41</v>
      </c>
      <c r="E183" s="41" t="s">
        <v>419</v>
      </c>
      <c r="F183" s="6"/>
    </row>
    <row r="184" spans="1:6" x14ac:dyDescent="0.25">
      <c r="A184" s="476" t="s">
        <v>869</v>
      </c>
      <c r="B184" s="14" t="s">
        <v>423</v>
      </c>
      <c r="C184" s="668" t="str">
        <f>"619217652274"</f>
        <v>619217652274</v>
      </c>
      <c r="D184" s="205">
        <v>3.89</v>
      </c>
      <c r="E184" s="41" t="s">
        <v>419</v>
      </c>
      <c r="F184" s="6"/>
    </row>
    <row r="185" spans="1:6" x14ac:dyDescent="0.25">
      <c r="A185" s="476" t="s">
        <v>869</v>
      </c>
      <c r="B185" s="14" t="s">
        <v>423</v>
      </c>
      <c r="C185" s="668" t="str">
        <f>"619217652271"</f>
        <v>619217652271</v>
      </c>
      <c r="D185" s="205">
        <v>3.08</v>
      </c>
      <c r="E185" s="41" t="s">
        <v>419</v>
      </c>
      <c r="F185" s="6"/>
    </row>
    <row r="186" spans="1:6" x14ac:dyDescent="0.25">
      <c r="A186" s="476" t="s">
        <v>869</v>
      </c>
      <c r="B186" s="14" t="s">
        <v>423</v>
      </c>
      <c r="C186" s="668" t="str">
        <f>"619217652269"</f>
        <v>619217652269</v>
      </c>
      <c r="D186" s="205">
        <v>2.5299999999999998</v>
      </c>
      <c r="E186" s="41" t="s">
        <v>419</v>
      </c>
      <c r="F186" s="6"/>
    </row>
    <row r="187" spans="1:6" x14ac:dyDescent="0.25">
      <c r="A187" s="476" t="s">
        <v>869</v>
      </c>
      <c r="B187" s="14" t="s">
        <v>423</v>
      </c>
      <c r="C187" s="668" t="str">
        <f>"619217652260"</f>
        <v>619217652260</v>
      </c>
      <c r="D187" s="205">
        <v>2.58</v>
      </c>
      <c r="E187" s="41" t="s">
        <v>419</v>
      </c>
      <c r="F187" s="6"/>
    </row>
    <row r="188" spans="1:6" x14ac:dyDescent="0.25">
      <c r="A188" s="476" t="s">
        <v>869</v>
      </c>
      <c r="B188" s="14" t="s">
        <v>423</v>
      </c>
      <c r="C188" s="668" t="str">
        <f>"619217652255"</f>
        <v>619217652255</v>
      </c>
      <c r="D188" s="205">
        <v>2.5099999999999998</v>
      </c>
      <c r="E188" s="41" t="s">
        <v>419</v>
      </c>
      <c r="F188" s="6"/>
    </row>
    <row r="189" spans="1:6" x14ac:dyDescent="0.25">
      <c r="A189" s="476" t="s">
        <v>869</v>
      </c>
      <c r="B189" s="14" t="s">
        <v>423</v>
      </c>
      <c r="C189" s="668" t="str">
        <f>"619217652251"</f>
        <v>619217652251</v>
      </c>
      <c r="D189" s="205">
        <v>3.45</v>
      </c>
      <c r="E189" s="41" t="s">
        <v>419</v>
      </c>
      <c r="F189" s="6"/>
    </row>
    <row r="190" spans="1:6" x14ac:dyDescent="0.25">
      <c r="A190" s="482" t="s">
        <v>869</v>
      </c>
      <c r="B190" s="14" t="s">
        <v>423</v>
      </c>
      <c r="C190" s="668" t="str">
        <f>"619217652250"</f>
        <v>619217652250</v>
      </c>
      <c r="D190" s="205">
        <v>3.13</v>
      </c>
      <c r="E190" s="41" t="s">
        <v>419</v>
      </c>
      <c r="F190" s="6"/>
    </row>
    <row r="191" spans="1:6" x14ac:dyDescent="0.25">
      <c r="A191" s="476" t="s">
        <v>869</v>
      </c>
      <c r="B191" s="14" t="s">
        <v>423</v>
      </c>
      <c r="C191" s="668" t="str">
        <f>"619217652246"</f>
        <v>619217652246</v>
      </c>
      <c r="D191" s="205">
        <v>2.57</v>
      </c>
      <c r="E191" s="41" t="s">
        <v>419</v>
      </c>
      <c r="F191" s="6"/>
    </row>
    <row r="192" spans="1:6" x14ac:dyDescent="0.25">
      <c r="A192" s="476" t="s">
        <v>869</v>
      </c>
      <c r="B192" s="14" t="s">
        <v>423</v>
      </c>
      <c r="C192" s="668" t="str">
        <f>"619217652245"</f>
        <v>619217652245</v>
      </c>
      <c r="D192" s="205">
        <v>2.5299999999999998</v>
      </c>
      <c r="E192" s="41" t="s">
        <v>419</v>
      </c>
      <c r="F192" s="6"/>
    </row>
    <row r="193" spans="1:6" x14ac:dyDescent="0.25">
      <c r="A193" s="476" t="s">
        <v>869</v>
      </c>
      <c r="B193" s="14" t="s">
        <v>423</v>
      </c>
      <c r="C193" s="668" t="str">
        <f>"619217652243"</f>
        <v>619217652243</v>
      </c>
      <c r="D193" s="205">
        <v>2.8</v>
      </c>
      <c r="E193" s="41" t="s">
        <v>419</v>
      </c>
      <c r="F193" s="6"/>
    </row>
    <row r="194" spans="1:6" x14ac:dyDescent="0.25">
      <c r="A194" s="476" t="s">
        <v>869</v>
      </c>
      <c r="B194" s="14" t="s">
        <v>423</v>
      </c>
      <c r="C194" s="668" t="str">
        <f>"619217652241"</f>
        <v>619217652241</v>
      </c>
      <c r="D194" s="205">
        <v>2.5499999999999998</v>
      </c>
      <c r="E194" s="41" t="s">
        <v>419</v>
      </c>
      <c r="F194" s="6"/>
    </row>
    <row r="195" spans="1:6" x14ac:dyDescent="0.25">
      <c r="A195" s="476" t="s">
        <v>869</v>
      </c>
      <c r="B195" s="14" t="s">
        <v>423</v>
      </c>
      <c r="C195" s="668" t="str">
        <f>"619217652235"</f>
        <v>619217652235</v>
      </c>
      <c r="D195" s="205">
        <v>2.98</v>
      </c>
      <c r="E195" s="41" t="s">
        <v>419</v>
      </c>
      <c r="F195" s="6"/>
    </row>
    <row r="196" spans="1:6" x14ac:dyDescent="0.25">
      <c r="A196" s="482" t="s">
        <v>869</v>
      </c>
      <c r="B196" s="14" t="s">
        <v>423</v>
      </c>
      <c r="C196" s="668" t="str">
        <f>"619217652220"</f>
        <v>619217652220</v>
      </c>
      <c r="D196" s="205">
        <v>2.74</v>
      </c>
      <c r="E196" s="41" t="s">
        <v>419</v>
      </c>
      <c r="F196" s="6"/>
    </row>
    <row r="197" spans="1:6" x14ac:dyDescent="0.25">
      <c r="A197" s="476" t="s">
        <v>869</v>
      </c>
      <c r="B197" s="14" t="s">
        <v>423</v>
      </c>
      <c r="C197" s="668" t="str">
        <f>"619217652214"</f>
        <v>619217652214</v>
      </c>
      <c r="D197" s="205">
        <v>2.52</v>
      </c>
      <c r="E197" s="41" t="s">
        <v>419</v>
      </c>
      <c r="F197" s="6"/>
    </row>
    <row r="198" spans="1:6" x14ac:dyDescent="0.25">
      <c r="A198" s="476" t="s">
        <v>869</v>
      </c>
      <c r="B198" s="14" t="s">
        <v>423</v>
      </c>
      <c r="C198" s="668" t="str">
        <f>"619217652207"</f>
        <v>619217652207</v>
      </c>
      <c r="D198" s="205">
        <v>3.46</v>
      </c>
      <c r="E198" s="41" t="s">
        <v>419</v>
      </c>
      <c r="F198" s="6"/>
    </row>
    <row r="199" spans="1:6" x14ac:dyDescent="0.25">
      <c r="A199" s="476" t="s">
        <v>869</v>
      </c>
      <c r="B199" s="14" t="s">
        <v>423</v>
      </c>
      <c r="C199" s="668" t="str">
        <f>"619217652203"</f>
        <v>619217652203</v>
      </c>
      <c r="D199" s="205">
        <v>2.6</v>
      </c>
      <c r="E199" s="41" t="s">
        <v>419</v>
      </c>
      <c r="F199" s="6"/>
    </row>
    <row r="200" spans="1:6" x14ac:dyDescent="0.25">
      <c r="A200" s="476" t="s">
        <v>869</v>
      </c>
      <c r="B200" s="14" t="s">
        <v>423</v>
      </c>
      <c r="C200" s="668" t="str">
        <f>"619217652201"</f>
        <v>619217652201</v>
      </c>
      <c r="D200" s="205">
        <v>3.2</v>
      </c>
      <c r="E200" s="41" t="s">
        <v>419</v>
      </c>
      <c r="F200" s="6"/>
    </row>
    <row r="201" spans="1:6" x14ac:dyDescent="0.25">
      <c r="A201" s="476" t="s">
        <v>869</v>
      </c>
      <c r="B201" s="14" t="s">
        <v>423</v>
      </c>
      <c r="C201" s="668" t="str">
        <f>"619217652186"</f>
        <v>619217652186</v>
      </c>
      <c r="D201" s="205">
        <v>2.78</v>
      </c>
      <c r="E201" s="41" t="s">
        <v>419</v>
      </c>
      <c r="F201" s="6"/>
    </row>
    <row r="202" spans="1:6" x14ac:dyDescent="0.25">
      <c r="A202" s="476" t="s">
        <v>869</v>
      </c>
      <c r="B202" s="14" t="s">
        <v>423</v>
      </c>
      <c r="C202" s="668" t="str">
        <f>"619217652182"</f>
        <v>619217652182</v>
      </c>
      <c r="D202" s="205">
        <v>2.81</v>
      </c>
      <c r="E202" s="41" t="s">
        <v>419</v>
      </c>
      <c r="F202" s="6"/>
    </row>
    <row r="203" spans="1:6" x14ac:dyDescent="0.25">
      <c r="A203" s="476" t="s">
        <v>869</v>
      </c>
      <c r="B203" s="14" t="s">
        <v>423</v>
      </c>
      <c r="C203" s="668" t="str">
        <f>"619217652178"</f>
        <v>619217652178</v>
      </c>
      <c r="D203" s="205">
        <v>3.02</v>
      </c>
      <c r="E203" s="41" t="s">
        <v>419</v>
      </c>
      <c r="F203" s="6"/>
    </row>
    <row r="204" spans="1:6" x14ac:dyDescent="0.25">
      <c r="A204" s="476" t="s">
        <v>869</v>
      </c>
      <c r="B204" s="14" t="s">
        <v>423</v>
      </c>
      <c r="C204" s="668" t="str">
        <f>"619217652266"</f>
        <v>619217652266</v>
      </c>
      <c r="D204" s="205">
        <v>2.44</v>
      </c>
      <c r="E204" s="66" t="s">
        <v>420</v>
      </c>
      <c r="F204" s="6"/>
    </row>
    <row r="205" spans="1:6" x14ac:dyDescent="0.25">
      <c r="A205" s="476" t="s">
        <v>869</v>
      </c>
      <c r="B205" s="14" t="s">
        <v>423</v>
      </c>
      <c r="C205" s="668" t="str">
        <f>"619217652263"</f>
        <v>619217652263</v>
      </c>
      <c r="D205" s="205">
        <v>2.39</v>
      </c>
      <c r="E205" s="66" t="s">
        <v>420</v>
      </c>
      <c r="F205" s="6"/>
    </row>
    <row r="206" spans="1:6" x14ac:dyDescent="0.25">
      <c r="A206" s="482" t="s">
        <v>869</v>
      </c>
      <c r="B206" s="14" t="s">
        <v>423</v>
      </c>
      <c r="C206" s="668" t="str">
        <f>"619217652261"</f>
        <v>619217652261</v>
      </c>
      <c r="D206" s="205">
        <v>2.42</v>
      </c>
      <c r="E206" s="66" t="s">
        <v>420</v>
      </c>
      <c r="F206" s="6"/>
    </row>
    <row r="207" spans="1:6" x14ac:dyDescent="0.25">
      <c r="A207" s="476" t="s">
        <v>869</v>
      </c>
      <c r="B207" s="14" t="s">
        <v>423</v>
      </c>
      <c r="C207" s="668" t="str">
        <f>"619217652223"</f>
        <v>619217652223</v>
      </c>
      <c r="D207" s="205">
        <v>2.31</v>
      </c>
      <c r="E207" s="66" t="s">
        <v>420</v>
      </c>
      <c r="F207" s="6"/>
    </row>
    <row r="208" spans="1:6" x14ac:dyDescent="0.25">
      <c r="A208" s="476" t="s">
        <v>869</v>
      </c>
      <c r="B208" s="14" t="s">
        <v>423</v>
      </c>
      <c r="C208" s="668" t="str">
        <f>"619217652219"</f>
        <v>619217652219</v>
      </c>
      <c r="D208" s="205">
        <v>2.42</v>
      </c>
      <c r="E208" s="66" t="s">
        <v>420</v>
      </c>
      <c r="F208" s="6"/>
    </row>
    <row r="209" spans="1:6" x14ac:dyDescent="0.25">
      <c r="A209" s="476" t="s">
        <v>869</v>
      </c>
      <c r="B209" s="14" t="s">
        <v>423</v>
      </c>
      <c r="C209" s="668" t="str">
        <f>"619217652213"</f>
        <v>619217652213</v>
      </c>
      <c r="D209" s="205">
        <v>2.4700000000000002</v>
      </c>
      <c r="E209" s="66" t="s">
        <v>420</v>
      </c>
      <c r="F209" s="6"/>
    </row>
    <row r="210" spans="1:6" x14ac:dyDescent="0.25">
      <c r="A210" s="476" t="s">
        <v>869</v>
      </c>
      <c r="B210" s="14" t="s">
        <v>423</v>
      </c>
      <c r="C210" s="668" t="str">
        <f>"619217652202"</f>
        <v>619217652202</v>
      </c>
      <c r="D210" s="205">
        <v>2.2999999999999998</v>
      </c>
      <c r="E210" s="66" t="s">
        <v>420</v>
      </c>
      <c r="F210" s="6"/>
    </row>
    <row r="211" spans="1:6" x14ac:dyDescent="0.25">
      <c r="A211" s="476" t="s">
        <v>869</v>
      </c>
      <c r="B211" s="14" t="s">
        <v>423</v>
      </c>
      <c r="C211" s="668" t="str">
        <f>"619217652185"</f>
        <v>619217652185</v>
      </c>
      <c r="D211" s="205">
        <v>2.48</v>
      </c>
      <c r="E211" s="66" t="s">
        <v>420</v>
      </c>
      <c r="F211" s="6"/>
    </row>
    <row r="212" spans="1:6" ht="15.75" thickBot="1" x14ac:dyDescent="0.3">
      <c r="A212" s="484" t="s">
        <v>869</v>
      </c>
      <c r="B212" s="357" t="s">
        <v>423</v>
      </c>
      <c r="C212" s="670" t="str">
        <f>"619217862184"</f>
        <v>619217862184</v>
      </c>
      <c r="D212" s="677">
        <v>2.41</v>
      </c>
      <c r="E212" s="46" t="s">
        <v>420</v>
      </c>
      <c r="F212" s="6"/>
    </row>
    <row r="213" spans="1:6" x14ac:dyDescent="0.25">
      <c r="A213" s="474" t="s">
        <v>869</v>
      </c>
      <c r="B213" s="356" t="s">
        <v>424</v>
      </c>
      <c r="C213" s="667" t="str">
        <f>"619217652285"</f>
        <v>619217652285</v>
      </c>
      <c r="D213" s="675">
        <v>3.56</v>
      </c>
      <c r="E213" s="39" t="s">
        <v>419</v>
      </c>
      <c r="F213" s="6"/>
    </row>
    <row r="214" spans="1:6" x14ac:dyDescent="0.25">
      <c r="A214" s="476" t="s">
        <v>869</v>
      </c>
      <c r="B214" s="308" t="s">
        <v>424</v>
      </c>
      <c r="C214" s="668" t="str">
        <f>"619217652279"</f>
        <v>619217652279</v>
      </c>
      <c r="D214" s="205">
        <v>3.31</v>
      </c>
      <c r="E214" s="41" t="s">
        <v>419</v>
      </c>
      <c r="F214" s="6"/>
    </row>
    <row r="215" spans="1:6" x14ac:dyDescent="0.25">
      <c r="A215" s="476" t="s">
        <v>869</v>
      </c>
      <c r="B215" s="308" t="s">
        <v>424</v>
      </c>
      <c r="C215" s="668" t="str">
        <f>"619217652265"</f>
        <v>619217652265</v>
      </c>
      <c r="D215" s="205">
        <v>3.11</v>
      </c>
      <c r="E215" s="41" t="s">
        <v>419</v>
      </c>
      <c r="F215" s="6"/>
    </row>
    <row r="216" spans="1:6" x14ac:dyDescent="0.25">
      <c r="A216" s="476" t="s">
        <v>869</v>
      </c>
      <c r="B216" s="308" t="s">
        <v>424</v>
      </c>
      <c r="C216" s="668" t="str">
        <f>"619217652262"</f>
        <v>619217652262</v>
      </c>
      <c r="D216" s="205">
        <v>2.96</v>
      </c>
      <c r="E216" s="41" t="s">
        <v>419</v>
      </c>
      <c r="F216" s="6"/>
    </row>
    <row r="217" spans="1:6" x14ac:dyDescent="0.25">
      <c r="A217" s="476" t="s">
        <v>869</v>
      </c>
      <c r="B217" s="308" t="s">
        <v>424</v>
      </c>
      <c r="C217" s="668" t="str">
        <f>"619217652249"</f>
        <v>619217652249</v>
      </c>
      <c r="D217" s="205">
        <v>2.77</v>
      </c>
      <c r="E217" s="41" t="s">
        <v>419</v>
      </c>
      <c r="F217" s="6"/>
    </row>
    <row r="218" spans="1:6" x14ac:dyDescent="0.25">
      <c r="A218" s="476" t="s">
        <v>869</v>
      </c>
      <c r="B218" s="308" t="s">
        <v>424</v>
      </c>
      <c r="C218" s="668" t="str">
        <f>"619217652237"</f>
        <v>619217652237</v>
      </c>
      <c r="D218" s="205">
        <v>3.21</v>
      </c>
      <c r="E218" s="41" t="s">
        <v>419</v>
      </c>
      <c r="F218" s="6"/>
    </row>
    <row r="219" spans="1:6" x14ac:dyDescent="0.25">
      <c r="A219" s="476" t="s">
        <v>869</v>
      </c>
      <c r="B219" s="308" t="s">
        <v>424</v>
      </c>
      <c r="C219" s="668" t="str">
        <f>"619217652234"</f>
        <v>619217652234</v>
      </c>
      <c r="D219" s="205">
        <v>2.98</v>
      </c>
      <c r="E219" s="41" t="s">
        <v>419</v>
      </c>
      <c r="F219" s="6"/>
    </row>
    <row r="220" spans="1:6" x14ac:dyDescent="0.25">
      <c r="A220" s="476" t="s">
        <v>869</v>
      </c>
      <c r="B220" s="308" t="s">
        <v>424</v>
      </c>
      <c r="C220" s="668" t="str">
        <f>"619217652230"</f>
        <v>619217652230</v>
      </c>
      <c r="D220" s="205">
        <v>2.82</v>
      </c>
      <c r="E220" s="41" t="s">
        <v>419</v>
      </c>
      <c r="F220" s="6"/>
    </row>
    <row r="221" spans="1:6" x14ac:dyDescent="0.25">
      <c r="A221" s="476" t="s">
        <v>869</v>
      </c>
      <c r="B221" s="308" t="s">
        <v>424</v>
      </c>
      <c r="C221" s="668" t="str">
        <f>"619217652215"</f>
        <v>619217652215</v>
      </c>
      <c r="D221" s="205">
        <v>2.99</v>
      </c>
      <c r="E221" s="41" t="s">
        <v>419</v>
      </c>
      <c r="F221" s="6"/>
    </row>
    <row r="222" spans="1:6" x14ac:dyDescent="0.25">
      <c r="A222" s="482" t="s">
        <v>869</v>
      </c>
      <c r="B222" s="308" t="s">
        <v>424</v>
      </c>
      <c r="C222" s="668" t="str">
        <f>"619217652212"</f>
        <v>619217652212</v>
      </c>
      <c r="D222" s="205">
        <v>3.09</v>
      </c>
      <c r="E222" s="41" t="s">
        <v>419</v>
      </c>
      <c r="F222" s="6"/>
    </row>
    <row r="223" spans="1:6" x14ac:dyDescent="0.25">
      <c r="A223" s="476" t="s">
        <v>869</v>
      </c>
      <c r="B223" s="308" t="s">
        <v>424</v>
      </c>
      <c r="C223" s="668" t="str">
        <f>"619217652200"</f>
        <v>619217652200</v>
      </c>
      <c r="D223" s="205">
        <v>3.48</v>
      </c>
      <c r="E223" s="41" t="s">
        <v>419</v>
      </c>
      <c r="F223" s="6"/>
    </row>
    <row r="224" spans="1:6" x14ac:dyDescent="0.25">
      <c r="A224" s="476" t="s">
        <v>869</v>
      </c>
      <c r="B224" s="308" t="s">
        <v>424</v>
      </c>
      <c r="C224" s="668" t="str">
        <f>"619217652199"</f>
        <v>619217652199</v>
      </c>
      <c r="D224" s="205">
        <v>2.74</v>
      </c>
      <c r="E224" s="41" t="s">
        <v>419</v>
      </c>
      <c r="F224" s="6"/>
    </row>
    <row r="225" spans="1:6" x14ac:dyDescent="0.25">
      <c r="A225" s="476" t="s">
        <v>869</v>
      </c>
      <c r="B225" s="308" t="s">
        <v>424</v>
      </c>
      <c r="C225" s="668" t="str">
        <f>"619217652194"</f>
        <v>619217652194</v>
      </c>
      <c r="D225" s="205">
        <v>3.03</v>
      </c>
      <c r="E225" s="41" t="s">
        <v>419</v>
      </c>
      <c r="F225" s="6"/>
    </row>
    <row r="226" spans="1:6" x14ac:dyDescent="0.25">
      <c r="A226" s="476" t="s">
        <v>869</v>
      </c>
      <c r="B226" s="308" t="s">
        <v>424</v>
      </c>
      <c r="C226" s="668" t="str">
        <f>"619217652183"</f>
        <v>619217652183</v>
      </c>
      <c r="D226" s="205">
        <v>2.98</v>
      </c>
      <c r="E226" s="41" t="s">
        <v>419</v>
      </c>
      <c r="F226" s="6"/>
    </row>
    <row r="227" spans="1:6" x14ac:dyDescent="0.25">
      <c r="A227" s="476" t="s">
        <v>869</v>
      </c>
      <c r="B227" s="308" t="s">
        <v>424</v>
      </c>
      <c r="C227" s="668" t="str">
        <f>"619217652180"</f>
        <v>619217652180</v>
      </c>
      <c r="D227" s="205">
        <v>2.83</v>
      </c>
      <c r="E227" s="41" t="s">
        <v>419</v>
      </c>
      <c r="F227" s="6"/>
    </row>
    <row r="228" spans="1:6" x14ac:dyDescent="0.25">
      <c r="A228" s="482" t="s">
        <v>869</v>
      </c>
      <c r="B228" s="308" t="s">
        <v>424</v>
      </c>
      <c r="C228" s="668" t="str">
        <f>"619217652179"</f>
        <v>619217652179</v>
      </c>
      <c r="D228" s="205">
        <v>3.45</v>
      </c>
      <c r="E228" s="41" t="s">
        <v>419</v>
      </c>
      <c r="F228" s="6"/>
    </row>
    <row r="229" spans="1:6" x14ac:dyDescent="0.25">
      <c r="A229" s="476" t="s">
        <v>869</v>
      </c>
      <c r="B229" s="308" t="s">
        <v>424</v>
      </c>
      <c r="C229" s="668" t="str">
        <f>"619217652253"</f>
        <v>619217652253</v>
      </c>
      <c r="D229" s="205">
        <v>2.57</v>
      </c>
      <c r="E229" s="66" t="s">
        <v>420</v>
      </c>
      <c r="F229" s="6"/>
    </row>
    <row r="230" spans="1:6" x14ac:dyDescent="0.25">
      <c r="A230" s="476" t="s">
        <v>869</v>
      </c>
      <c r="B230" s="308" t="s">
        <v>424</v>
      </c>
      <c r="C230" s="668" t="str">
        <f>"619217652224"</f>
        <v>619217652224</v>
      </c>
      <c r="D230" s="205">
        <v>2.57</v>
      </c>
      <c r="E230" s="66" t="s">
        <v>420</v>
      </c>
      <c r="F230" s="6"/>
    </row>
    <row r="231" spans="1:6" x14ac:dyDescent="0.25">
      <c r="A231" s="476" t="s">
        <v>869</v>
      </c>
      <c r="B231" s="308" t="s">
        <v>424</v>
      </c>
      <c r="C231" s="668" t="str">
        <f>"619217652217"</f>
        <v>619217652217</v>
      </c>
      <c r="D231" s="205">
        <v>2.13</v>
      </c>
      <c r="E231" s="66" t="s">
        <v>420</v>
      </c>
      <c r="F231" s="6"/>
    </row>
    <row r="232" spans="1:6" x14ac:dyDescent="0.25">
      <c r="A232" s="476" t="s">
        <v>869</v>
      </c>
      <c r="B232" s="308" t="s">
        <v>424</v>
      </c>
      <c r="C232" s="668" t="str">
        <f>"619217652197"</f>
        <v>619217652197</v>
      </c>
      <c r="D232" s="205">
        <v>2.61</v>
      </c>
      <c r="E232" s="66" t="s">
        <v>420</v>
      </c>
      <c r="F232" s="6"/>
    </row>
    <row r="233" spans="1:6" x14ac:dyDescent="0.25">
      <c r="A233" s="483" t="s">
        <v>869</v>
      </c>
      <c r="B233" s="611" t="s">
        <v>424</v>
      </c>
      <c r="C233" s="671" t="str">
        <f>"619217652273"</f>
        <v>619217652273</v>
      </c>
      <c r="D233" s="676">
        <v>2.62</v>
      </c>
      <c r="E233" s="119" t="s">
        <v>420</v>
      </c>
      <c r="F233" s="6"/>
    </row>
    <row r="234" spans="1:6" x14ac:dyDescent="0.25">
      <c r="A234" s="610" t="s">
        <v>1114</v>
      </c>
      <c r="B234" s="308" t="s">
        <v>422</v>
      </c>
      <c r="C234" s="668">
        <v>19201800284</v>
      </c>
      <c r="D234" s="30">
        <v>3.75</v>
      </c>
      <c r="E234" s="225" t="s">
        <v>419</v>
      </c>
    </row>
    <row r="235" spans="1:6" x14ac:dyDescent="0.25">
      <c r="A235" s="610" t="s">
        <v>1114</v>
      </c>
      <c r="B235" s="308" t="s">
        <v>422</v>
      </c>
      <c r="C235" s="668">
        <v>19201800194</v>
      </c>
      <c r="D235" s="30">
        <v>3.7</v>
      </c>
      <c r="E235" s="225" t="s">
        <v>419</v>
      </c>
    </row>
    <row r="236" spans="1:6" x14ac:dyDescent="0.25">
      <c r="A236" s="610" t="s">
        <v>1114</v>
      </c>
      <c r="B236" s="308" t="s">
        <v>422</v>
      </c>
      <c r="C236" s="668">
        <v>19201800258</v>
      </c>
      <c r="D236" s="30">
        <v>3.69</v>
      </c>
      <c r="E236" s="225" t="s">
        <v>419</v>
      </c>
    </row>
    <row r="237" spans="1:6" x14ac:dyDescent="0.25">
      <c r="A237" s="610" t="s">
        <v>1114</v>
      </c>
      <c r="B237" s="308" t="s">
        <v>422</v>
      </c>
      <c r="C237" s="668">
        <v>19201800230</v>
      </c>
      <c r="D237" s="30">
        <v>3.55</v>
      </c>
      <c r="E237" s="225" t="s">
        <v>419</v>
      </c>
    </row>
    <row r="238" spans="1:6" x14ac:dyDescent="0.25">
      <c r="A238" s="610" t="s">
        <v>1114</v>
      </c>
      <c r="B238" s="308" t="s">
        <v>422</v>
      </c>
      <c r="C238" s="668">
        <v>19201800264</v>
      </c>
      <c r="D238" s="30">
        <v>3.55</v>
      </c>
      <c r="E238" s="225" t="s">
        <v>419</v>
      </c>
    </row>
    <row r="239" spans="1:6" x14ac:dyDescent="0.25">
      <c r="A239" s="610" t="s">
        <v>1114</v>
      </c>
      <c r="B239" s="308" t="s">
        <v>422</v>
      </c>
      <c r="C239" s="668">
        <v>19201800298</v>
      </c>
      <c r="D239" s="30">
        <v>3.44</v>
      </c>
      <c r="E239" s="225" t="s">
        <v>419</v>
      </c>
    </row>
    <row r="240" spans="1:6" x14ac:dyDescent="0.25">
      <c r="A240" s="610" t="s">
        <v>1114</v>
      </c>
      <c r="B240" s="308" t="s">
        <v>422</v>
      </c>
      <c r="C240" s="668">
        <v>19201800262</v>
      </c>
      <c r="D240" s="30">
        <v>3.43</v>
      </c>
      <c r="E240" s="225" t="s">
        <v>419</v>
      </c>
    </row>
    <row r="241" spans="1:5" x14ac:dyDescent="0.25">
      <c r="A241" s="610" t="s">
        <v>1114</v>
      </c>
      <c r="B241" s="308" t="s">
        <v>422</v>
      </c>
      <c r="C241" s="668">
        <v>19201800282</v>
      </c>
      <c r="D241" s="30">
        <v>3.39</v>
      </c>
      <c r="E241" s="225" t="s">
        <v>419</v>
      </c>
    </row>
    <row r="242" spans="1:5" x14ac:dyDescent="0.25">
      <c r="A242" s="610" t="s">
        <v>1114</v>
      </c>
      <c r="B242" s="308" t="s">
        <v>422</v>
      </c>
      <c r="C242" s="668">
        <v>19201800292</v>
      </c>
      <c r="D242" s="30">
        <v>3.39</v>
      </c>
      <c r="E242" s="225" t="s">
        <v>419</v>
      </c>
    </row>
    <row r="243" spans="1:5" x14ac:dyDescent="0.25">
      <c r="A243" s="610" t="s">
        <v>1114</v>
      </c>
      <c r="B243" s="308" t="s">
        <v>422</v>
      </c>
      <c r="C243" s="668">
        <v>19201800295</v>
      </c>
      <c r="D243" s="30">
        <v>3.34</v>
      </c>
      <c r="E243" s="225" t="s">
        <v>419</v>
      </c>
    </row>
    <row r="244" spans="1:5" x14ac:dyDescent="0.25">
      <c r="A244" s="610" t="s">
        <v>1114</v>
      </c>
      <c r="B244" s="308" t="s">
        <v>422</v>
      </c>
      <c r="C244" s="668">
        <v>19201800271</v>
      </c>
      <c r="D244" s="30">
        <v>3.32</v>
      </c>
      <c r="E244" s="225" t="s">
        <v>419</v>
      </c>
    </row>
    <row r="245" spans="1:5" x14ac:dyDescent="0.25">
      <c r="A245" s="610" t="s">
        <v>1114</v>
      </c>
      <c r="B245" s="308" t="s">
        <v>422</v>
      </c>
      <c r="C245" s="668">
        <v>19201800216</v>
      </c>
      <c r="D245" s="30">
        <v>3.29</v>
      </c>
      <c r="E245" s="225" t="s">
        <v>419</v>
      </c>
    </row>
    <row r="246" spans="1:5" x14ac:dyDescent="0.25">
      <c r="A246" s="610" t="s">
        <v>1114</v>
      </c>
      <c r="B246" s="308" t="s">
        <v>422</v>
      </c>
      <c r="C246" s="668">
        <v>19201800184</v>
      </c>
      <c r="D246" s="30">
        <v>3.28</v>
      </c>
      <c r="E246" s="225" t="s">
        <v>419</v>
      </c>
    </row>
    <row r="247" spans="1:5" x14ac:dyDescent="0.25">
      <c r="A247" s="610" t="s">
        <v>1114</v>
      </c>
      <c r="B247" s="308" t="s">
        <v>422</v>
      </c>
      <c r="C247" s="668">
        <v>19201800237</v>
      </c>
      <c r="D247" s="30">
        <v>3.23</v>
      </c>
      <c r="E247" s="225" t="s">
        <v>419</v>
      </c>
    </row>
    <row r="248" spans="1:5" x14ac:dyDescent="0.25">
      <c r="A248" s="610" t="s">
        <v>1114</v>
      </c>
      <c r="B248" s="308" t="s">
        <v>422</v>
      </c>
      <c r="C248" s="668">
        <v>19201800257</v>
      </c>
      <c r="D248" s="30">
        <v>3.17</v>
      </c>
      <c r="E248" s="225" t="s">
        <v>419</v>
      </c>
    </row>
    <row r="249" spans="1:5" x14ac:dyDescent="0.25">
      <c r="A249" s="610" t="s">
        <v>1114</v>
      </c>
      <c r="B249" s="308" t="s">
        <v>422</v>
      </c>
      <c r="C249" s="668">
        <v>19201800259</v>
      </c>
      <c r="D249" s="30">
        <v>3.16</v>
      </c>
      <c r="E249" s="225" t="s">
        <v>419</v>
      </c>
    </row>
    <row r="250" spans="1:5" x14ac:dyDescent="0.25">
      <c r="A250" s="610" t="s">
        <v>1114</v>
      </c>
      <c r="B250" s="308" t="s">
        <v>422</v>
      </c>
      <c r="C250" s="668">
        <v>19201800277</v>
      </c>
      <c r="D250" s="30">
        <v>3.05</v>
      </c>
      <c r="E250" s="225" t="s">
        <v>419</v>
      </c>
    </row>
    <row r="251" spans="1:5" x14ac:dyDescent="0.25">
      <c r="A251" s="610" t="s">
        <v>1114</v>
      </c>
      <c r="B251" s="308" t="s">
        <v>422</v>
      </c>
      <c r="C251" s="668">
        <v>19201800245</v>
      </c>
      <c r="D251" s="30">
        <v>3.03</v>
      </c>
      <c r="E251" s="225" t="s">
        <v>419</v>
      </c>
    </row>
    <row r="252" spans="1:5" x14ac:dyDescent="0.25">
      <c r="A252" s="610" t="s">
        <v>1114</v>
      </c>
      <c r="B252" s="308" t="s">
        <v>422</v>
      </c>
      <c r="C252" s="668">
        <v>19201800260</v>
      </c>
      <c r="D252" s="30">
        <v>2.98</v>
      </c>
      <c r="E252" s="225" t="s">
        <v>419</v>
      </c>
    </row>
    <row r="253" spans="1:5" x14ac:dyDescent="0.25">
      <c r="A253" s="610" t="s">
        <v>1114</v>
      </c>
      <c r="B253" s="308" t="s">
        <v>422</v>
      </c>
      <c r="C253" s="668">
        <v>19201800212</v>
      </c>
      <c r="D253" s="30">
        <v>2.94</v>
      </c>
      <c r="E253" s="225" t="s">
        <v>419</v>
      </c>
    </row>
    <row r="254" spans="1:5" x14ac:dyDescent="0.25">
      <c r="A254" s="610" t="s">
        <v>1114</v>
      </c>
      <c r="B254" s="308" t="s">
        <v>422</v>
      </c>
      <c r="C254" s="668">
        <v>19201800279</v>
      </c>
      <c r="D254" s="30">
        <v>2.88</v>
      </c>
      <c r="E254" s="225" t="s">
        <v>419</v>
      </c>
    </row>
    <row r="255" spans="1:5" x14ac:dyDescent="0.25">
      <c r="A255" s="610" t="s">
        <v>1114</v>
      </c>
      <c r="B255" s="308" t="s">
        <v>422</v>
      </c>
      <c r="C255" s="668">
        <v>19201800215</v>
      </c>
      <c r="D255" s="30">
        <v>2.83</v>
      </c>
      <c r="E255" s="225" t="s">
        <v>419</v>
      </c>
    </row>
    <row r="256" spans="1:5" x14ac:dyDescent="0.25">
      <c r="A256" s="610" t="s">
        <v>1114</v>
      </c>
      <c r="B256" s="308" t="s">
        <v>422</v>
      </c>
      <c r="C256" s="668">
        <v>19201800286</v>
      </c>
      <c r="D256" s="30">
        <v>2.8</v>
      </c>
      <c r="E256" s="225" t="s">
        <v>419</v>
      </c>
    </row>
    <row r="257" spans="1:5" x14ac:dyDescent="0.25">
      <c r="A257" s="610" t="s">
        <v>1114</v>
      </c>
      <c r="B257" s="308" t="s">
        <v>422</v>
      </c>
      <c r="C257" s="668">
        <v>19201800239</v>
      </c>
      <c r="D257" s="30">
        <v>2.4900000000000002</v>
      </c>
      <c r="E257" s="226" t="s">
        <v>420</v>
      </c>
    </row>
    <row r="258" spans="1:5" x14ac:dyDescent="0.25">
      <c r="A258" s="610" t="s">
        <v>1114</v>
      </c>
      <c r="B258" s="308" t="s">
        <v>422</v>
      </c>
      <c r="C258" s="668">
        <v>19201800240</v>
      </c>
      <c r="D258" s="30">
        <v>2.4900000000000002</v>
      </c>
      <c r="E258" s="226" t="s">
        <v>420</v>
      </c>
    </row>
    <row r="259" spans="1:5" x14ac:dyDescent="0.25">
      <c r="A259" s="610" t="s">
        <v>1114</v>
      </c>
      <c r="B259" s="308" t="s">
        <v>422</v>
      </c>
      <c r="C259" s="668">
        <v>19201800267</v>
      </c>
      <c r="D259" s="30">
        <v>2.4900000000000002</v>
      </c>
      <c r="E259" s="226" t="s">
        <v>420</v>
      </c>
    </row>
    <row r="260" spans="1:5" x14ac:dyDescent="0.25">
      <c r="A260" s="610" t="s">
        <v>1114</v>
      </c>
      <c r="B260" s="308" t="s">
        <v>422</v>
      </c>
      <c r="C260" s="668">
        <v>19201800288</v>
      </c>
      <c r="D260" s="30">
        <v>2.48</v>
      </c>
      <c r="E260" s="226" t="s">
        <v>420</v>
      </c>
    </row>
    <row r="261" spans="1:5" x14ac:dyDescent="0.25">
      <c r="A261" s="610" t="s">
        <v>1114</v>
      </c>
      <c r="B261" s="308" t="s">
        <v>422</v>
      </c>
      <c r="C261" s="668">
        <v>19201800293</v>
      </c>
      <c r="D261" s="30">
        <v>2.48</v>
      </c>
      <c r="E261" s="226" t="s">
        <v>420</v>
      </c>
    </row>
    <row r="262" spans="1:5" x14ac:dyDescent="0.25">
      <c r="A262" s="610" t="s">
        <v>1114</v>
      </c>
      <c r="B262" s="308" t="s">
        <v>422</v>
      </c>
      <c r="C262" s="668">
        <v>19201800265</v>
      </c>
      <c r="D262" s="30">
        <v>2.4700000000000002</v>
      </c>
      <c r="E262" s="226" t="s">
        <v>420</v>
      </c>
    </row>
    <row r="263" spans="1:5" x14ac:dyDescent="0.25">
      <c r="A263" s="610" t="s">
        <v>1114</v>
      </c>
      <c r="B263" s="308" t="s">
        <v>422</v>
      </c>
      <c r="C263" s="668">
        <v>19201800273</v>
      </c>
      <c r="D263" s="30">
        <v>2.4700000000000002</v>
      </c>
      <c r="E263" s="226" t="s">
        <v>420</v>
      </c>
    </row>
    <row r="264" spans="1:5" x14ac:dyDescent="0.25">
      <c r="A264" s="610" t="s">
        <v>1114</v>
      </c>
      <c r="B264" s="308" t="s">
        <v>422</v>
      </c>
      <c r="C264" s="668">
        <v>19201800283</v>
      </c>
      <c r="D264" s="30">
        <v>2.4500000000000002</v>
      </c>
      <c r="E264" s="226" t="s">
        <v>420</v>
      </c>
    </row>
    <row r="265" spans="1:5" x14ac:dyDescent="0.25">
      <c r="A265" s="610" t="s">
        <v>1114</v>
      </c>
      <c r="B265" s="308" t="s">
        <v>422</v>
      </c>
      <c r="C265" s="668">
        <v>19201800296</v>
      </c>
      <c r="D265" s="30">
        <v>2.4</v>
      </c>
      <c r="E265" s="226" t="s">
        <v>420</v>
      </c>
    </row>
    <row r="266" spans="1:5" x14ac:dyDescent="0.25">
      <c r="A266" s="610" t="s">
        <v>1114</v>
      </c>
      <c r="B266" s="308" t="s">
        <v>422</v>
      </c>
      <c r="C266" s="668">
        <v>19201800272</v>
      </c>
      <c r="D266" s="30">
        <v>2.09</v>
      </c>
      <c r="E266" s="226" t="s">
        <v>420</v>
      </c>
    </row>
    <row r="267" spans="1:5" x14ac:dyDescent="0.25">
      <c r="A267" s="610" t="s">
        <v>1114</v>
      </c>
      <c r="B267" s="308" t="s">
        <v>423</v>
      </c>
      <c r="C267" s="668">
        <v>19201800247</v>
      </c>
      <c r="D267" s="30">
        <v>3.75</v>
      </c>
      <c r="E267" s="225" t="s">
        <v>419</v>
      </c>
    </row>
    <row r="268" spans="1:5" x14ac:dyDescent="0.25">
      <c r="A268" s="610" t="s">
        <v>1114</v>
      </c>
      <c r="B268" s="308" t="s">
        <v>423</v>
      </c>
      <c r="C268" s="668">
        <v>19201800254</v>
      </c>
      <c r="D268" s="30">
        <v>3.67</v>
      </c>
      <c r="E268" s="225" t="s">
        <v>419</v>
      </c>
    </row>
    <row r="269" spans="1:5" x14ac:dyDescent="0.25">
      <c r="A269" s="610" t="s">
        <v>1114</v>
      </c>
      <c r="B269" s="308" t="s">
        <v>423</v>
      </c>
      <c r="C269" s="668">
        <v>19201800291</v>
      </c>
      <c r="D269" s="30">
        <v>3.5</v>
      </c>
      <c r="E269" s="225" t="s">
        <v>419</v>
      </c>
    </row>
    <row r="270" spans="1:5" x14ac:dyDescent="0.25">
      <c r="A270" s="610" t="s">
        <v>1114</v>
      </c>
      <c r="B270" s="308" t="s">
        <v>423</v>
      </c>
      <c r="C270" s="668">
        <v>19201800249</v>
      </c>
      <c r="D270" s="30">
        <v>3.41</v>
      </c>
      <c r="E270" s="225" t="s">
        <v>419</v>
      </c>
    </row>
    <row r="271" spans="1:5" x14ac:dyDescent="0.25">
      <c r="A271" s="610" t="s">
        <v>1114</v>
      </c>
      <c r="B271" s="308" t="s">
        <v>423</v>
      </c>
      <c r="C271" s="668">
        <v>19201800297</v>
      </c>
      <c r="D271" s="30">
        <v>3.37</v>
      </c>
      <c r="E271" s="225" t="s">
        <v>419</v>
      </c>
    </row>
    <row r="272" spans="1:5" x14ac:dyDescent="0.25">
      <c r="A272" s="610" t="s">
        <v>1114</v>
      </c>
      <c r="B272" s="308" t="s">
        <v>423</v>
      </c>
      <c r="C272" s="668">
        <v>19201800241</v>
      </c>
      <c r="D272" s="30">
        <v>3.36</v>
      </c>
      <c r="E272" s="225" t="s">
        <v>419</v>
      </c>
    </row>
    <row r="273" spans="1:5" x14ac:dyDescent="0.25">
      <c r="A273" s="610" t="s">
        <v>1114</v>
      </c>
      <c r="B273" s="308" t="s">
        <v>423</v>
      </c>
      <c r="C273" s="668">
        <v>19201800300</v>
      </c>
      <c r="D273" s="30">
        <v>3.28</v>
      </c>
      <c r="E273" s="225" t="s">
        <v>419</v>
      </c>
    </row>
    <row r="274" spans="1:5" x14ac:dyDescent="0.25">
      <c r="A274" s="610" t="s">
        <v>1114</v>
      </c>
      <c r="B274" s="308" t="s">
        <v>423</v>
      </c>
      <c r="C274" s="668">
        <v>19201800187</v>
      </c>
      <c r="D274" s="30">
        <v>3.26</v>
      </c>
      <c r="E274" s="225" t="s">
        <v>419</v>
      </c>
    </row>
    <row r="275" spans="1:5" x14ac:dyDescent="0.25">
      <c r="A275" s="610" t="s">
        <v>1114</v>
      </c>
      <c r="B275" s="308" t="s">
        <v>423</v>
      </c>
      <c r="C275" s="668">
        <v>19201800252</v>
      </c>
      <c r="D275" s="30">
        <v>3.23</v>
      </c>
      <c r="E275" s="225" t="s">
        <v>419</v>
      </c>
    </row>
    <row r="276" spans="1:5" x14ac:dyDescent="0.25">
      <c r="A276" s="610" t="s">
        <v>1114</v>
      </c>
      <c r="B276" s="308" t="s">
        <v>423</v>
      </c>
      <c r="C276" s="668">
        <v>19201800253</v>
      </c>
      <c r="D276" s="30">
        <v>3.23</v>
      </c>
      <c r="E276" s="225" t="s">
        <v>419</v>
      </c>
    </row>
    <row r="277" spans="1:5" x14ac:dyDescent="0.25">
      <c r="A277" s="610" t="s">
        <v>1114</v>
      </c>
      <c r="B277" s="308" t="s">
        <v>423</v>
      </c>
      <c r="C277" s="668">
        <v>19201800278</v>
      </c>
      <c r="D277" s="30">
        <v>3.22</v>
      </c>
      <c r="E277" s="225" t="s">
        <v>419</v>
      </c>
    </row>
    <row r="278" spans="1:5" x14ac:dyDescent="0.25">
      <c r="A278" s="610" t="s">
        <v>1114</v>
      </c>
      <c r="B278" s="308" t="s">
        <v>423</v>
      </c>
      <c r="C278" s="668">
        <v>19201800294</v>
      </c>
      <c r="D278" s="30">
        <v>3.11</v>
      </c>
      <c r="E278" s="225" t="s">
        <v>419</v>
      </c>
    </row>
    <row r="279" spans="1:5" x14ac:dyDescent="0.25">
      <c r="A279" s="610" t="s">
        <v>1114</v>
      </c>
      <c r="B279" s="308" t="s">
        <v>423</v>
      </c>
      <c r="C279" s="668">
        <v>19201800250</v>
      </c>
      <c r="D279" s="30">
        <v>3.05</v>
      </c>
      <c r="E279" s="225" t="s">
        <v>419</v>
      </c>
    </row>
    <row r="280" spans="1:5" x14ac:dyDescent="0.25">
      <c r="A280" s="610" t="s">
        <v>1114</v>
      </c>
      <c r="B280" s="308" t="s">
        <v>423</v>
      </c>
      <c r="C280" s="668">
        <v>19201800275</v>
      </c>
      <c r="D280" s="30">
        <v>3.05</v>
      </c>
      <c r="E280" s="225" t="s">
        <v>419</v>
      </c>
    </row>
    <row r="281" spans="1:5" x14ac:dyDescent="0.25">
      <c r="A281" s="610" t="s">
        <v>1114</v>
      </c>
      <c r="B281" s="308" t="s">
        <v>423</v>
      </c>
      <c r="C281" s="668">
        <v>19201800219</v>
      </c>
      <c r="D281" s="30">
        <v>3.03</v>
      </c>
      <c r="E281" s="225" t="s">
        <v>419</v>
      </c>
    </row>
    <row r="282" spans="1:5" x14ac:dyDescent="0.25">
      <c r="A282" s="610" t="s">
        <v>1114</v>
      </c>
      <c r="B282" s="308" t="s">
        <v>423</v>
      </c>
      <c r="C282" s="668">
        <v>19201800251</v>
      </c>
      <c r="D282" s="30">
        <v>2.96</v>
      </c>
      <c r="E282" s="225" t="s">
        <v>419</v>
      </c>
    </row>
    <row r="283" spans="1:5" x14ac:dyDescent="0.25">
      <c r="A283" s="610" t="s">
        <v>1114</v>
      </c>
      <c r="B283" s="308" t="s">
        <v>423</v>
      </c>
      <c r="C283" s="668">
        <v>19201800244</v>
      </c>
      <c r="D283" s="30">
        <v>2.48</v>
      </c>
      <c r="E283" s="226" t="s">
        <v>420</v>
      </c>
    </row>
    <row r="284" spans="1:5" x14ac:dyDescent="0.25">
      <c r="A284" s="610" t="s">
        <v>1114</v>
      </c>
      <c r="B284" s="308" t="s">
        <v>423</v>
      </c>
      <c r="C284" s="668">
        <v>19201800261</v>
      </c>
      <c r="D284" s="30">
        <v>2.48</v>
      </c>
      <c r="E284" s="226" t="s">
        <v>420</v>
      </c>
    </row>
    <row r="285" spans="1:5" x14ac:dyDescent="0.25">
      <c r="A285" s="610" t="s">
        <v>1114</v>
      </c>
      <c r="B285" s="308" t="s">
        <v>423</v>
      </c>
      <c r="C285" s="668">
        <v>19201800270</v>
      </c>
      <c r="D285" s="30">
        <v>2.48</v>
      </c>
      <c r="E285" s="226" t="s">
        <v>420</v>
      </c>
    </row>
    <row r="286" spans="1:5" x14ac:dyDescent="0.25">
      <c r="A286" s="610" t="s">
        <v>1114</v>
      </c>
      <c r="B286" s="308" t="s">
        <v>423</v>
      </c>
      <c r="C286" s="668">
        <v>19201800248</v>
      </c>
      <c r="D286" s="30">
        <v>2.4300000000000002</v>
      </c>
      <c r="E286" s="226" t="s">
        <v>420</v>
      </c>
    </row>
    <row r="287" spans="1:5" x14ac:dyDescent="0.25">
      <c r="A287" s="610" t="s">
        <v>1114</v>
      </c>
      <c r="B287" s="308" t="s">
        <v>423</v>
      </c>
      <c r="C287" s="668">
        <v>19201800287</v>
      </c>
      <c r="D287" s="30">
        <v>2.4300000000000002</v>
      </c>
      <c r="E287" s="226" t="s">
        <v>420</v>
      </c>
    </row>
    <row r="288" spans="1:5" x14ac:dyDescent="0.25">
      <c r="A288" s="610" t="s">
        <v>1114</v>
      </c>
      <c r="B288" s="308" t="s">
        <v>423</v>
      </c>
      <c r="C288" s="668">
        <v>19201800301</v>
      </c>
      <c r="D288" s="30">
        <v>2.4300000000000002</v>
      </c>
      <c r="E288" s="226" t="s">
        <v>420</v>
      </c>
    </row>
    <row r="289" spans="1:5" x14ac:dyDescent="0.25">
      <c r="A289" s="610" t="s">
        <v>1114</v>
      </c>
      <c r="B289" s="308" t="s">
        <v>423</v>
      </c>
      <c r="C289" s="668">
        <v>19201800180</v>
      </c>
      <c r="D289" s="30">
        <v>2.36</v>
      </c>
      <c r="E289" s="226" t="s">
        <v>420</v>
      </c>
    </row>
    <row r="290" spans="1:5" x14ac:dyDescent="0.25">
      <c r="A290" s="610" t="s">
        <v>1114</v>
      </c>
      <c r="B290" s="308" t="s">
        <v>423</v>
      </c>
      <c r="C290" s="668">
        <v>19201800266</v>
      </c>
      <c r="D290" s="30">
        <v>2.34</v>
      </c>
      <c r="E290" s="226" t="s">
        <v>420</v>
      </c>
    </row>
    <row r="291" spans="1:5" x14ac:dyDescent="0.25">
      <c r="A291" s="610" t="s">
        <v>1114</v>
      </c>
      <c r="B291" s="308" t="s">
        <v>423</v>
      </c>
      <c r="C291" s="668">
        <v>19201800280</v>
      </c>
      <c r="D291" s="30">
        <v>2.1</v>
      </c>
      <c r="E291" s="226" t="s">
        <v>420</v>
      </c>
    </row>
    <row r="292" spans="1:5" x14ac:dyDescent="0.25">
      <c r="A292" s="610" t="s">
        <v>1114</v>
      </c>
      <c r="B292" s="308" t="s">
        <v>424</v>
      </c>
      <c r="C292" s="668">
        <v>19201800274</v>
      </c>
      <c r="D292" s="30">
        <v>3.85</v>
      </c>
      <c r="E292" s="225" t="s">
        <v>419</v>
      </c>
    </row>
    <row r="293" spans="1:5" x14ac:dyDescent="0.25">
      <c r="A293" s="610" t="s">
        <v>1114</v>
      </c>
      <c r="B293" s="308" t="s">
        <v>424</v>
      </c>
      <c r="C293" s="668">
        <v>19201800268</v>
      </c>
      <c r="D293" s="30">
        <v>3.76</v>
      </c>
      <c r="E293" s="225" t="s">
        <v>419</v>
      </c>
    </row>
    <row r="294" spans="1:5" x14ac:dyDescent="0.25">
      <c r="A294" s="610" t="s">
        <v>1114</v>
      </c>
      <c r="B294" s="308" t="s">
        <v>424</v>
      </c>
      <c r="C294" s="668">
        <v>19201800290</v>
      </c>
      <c r="D294" s="30">
        <v>3.73</v>
      </c>
      <c r="E294" s="225" t="s">
        <v>419</v>
      </c>
    </row>
    <row r="295" spans="1:5" x14ac:dyDescent="0.25">
      <c r="A295" s="610" t="s">
        <v>1114</v>
      </c>
      <c r="B295" s="308" t="s">
        <v>424</v>
      </c>
      <c r="C295" s="668">
        <v>19201800242</v>
      </c>
      <c r="D295" s="30">
        <v>3.66</v>
      </c>
      <c r="E295" s="225" t="s">
        <v>419</v>
      </c>
    </row>
    <row r="296" spans="1:5" x14ac:dyDescent="0.25">
      <c r="A296" s="610" t="s">
        <v>1114</v>
      </c>
      <c r="B296" s="308" t="s">
        <v>424</v>
      </c>
      <c r="C296" s="668">
        <v>19201800246</v>
      </c>
      <c r="D296" s="30">
        <v>3.53</v>
      </c>
      <c r="E296" s="225" t="s">
        <v>419</v>
      </c>
    </row>
    <row r="297" spans="1:5" x14ac:dyDescent="0.25">
      <c r="A297" s="610" t="s">
        <v>1114</v>
      </c>
      <c r="B297" s="308" t="s">
        <v>424</v>
      </c>
      <c r="C297" s="668">
        <v>19201800285</v>
      </c>
      <c r="D297" s="30">
        <v>3.53</v>
      </c>
      <c r="E297" s="225" t="s">
        <v>419</v>
      </c>
    </row>
    <row r="298" spans="1:5" x14ac:dyDescent="0.25">
      <c r="A298" s="610" t="s">
        <v>1114</v>
      </c>
      <c r="B298" s="308" t="s">
        <v>424</v>
      </c>
      <c r="C298" s="668">
        <v>19201800256</v>
      </c>
      <c r="D298" s="30">
        <v>3.46</v>
      </c>
      <c r="E298" s="225" t="s">
        <v>419</v>
      </c>
    </row>
    <row r="299" spans="1:5" x14ac:dyDescent="0.25">
      <c r="A299" s="610" t="s">
        <v>1114</v>
      </c>
      <c r="B299" s="308" t="s">
        <v>424</v>
      </c>
      <c r="C299" s="668">
        <v>19201800289</v>
      </c>
      <c r="D299" s="30">
        <v>3.36</v>
      </c>
      <c r="E299" s="225" t="s">
        <v>419</v>
      </c>
    </row>
    <row r="300" spans="1:5" x14ac:dyDescent="0.25">
      <c r="A300" s="610" t="s">
        <v>1114</v>
      </c>
      <c r="B300" s="308" t="s">
        <v>424</v>
      </c>
      <c r="C300" s="668">
        <v>19201800255</v>
      </c>
      <c r="D300" s="30">
        <v>3.35</v>
      </c>
      <c r="E300" s="225" t="s">
        <v>419</v>
      </c>
    </row>
    <row r="301" spans="1:5" x14ac:dyDescent="0.25">
      <c r="A301" s="610" t="s">
        <v>1114</v>
      </c>
      <c r="B301" s="308" t="s">
        <v>424</v>
      </c>
      <c r="C301" s="668">
        <v>19201800238</v>
      </c>
      <c r="D301" s="30">
        <v>3.03</v>
      </c>
      <c r="E301" s="225" t="s">
        <v>419</v>
      </c>
    </row>
    <row r="302" spans="1:5" x14ac:dyDescent="0.25">
      <c r="A302" s="610" t="s">
        <v>1114</v>
      </c>
      <c r="B302" s="308" t="s">
        <v>424</v>
      </c>
      <c r="C302" s="668">
        <v>19201800281</v>
      </c>
      <c r="D302" s="30">
        <v>2.4300000000000002</v>
      </c>
      <c r="E302" s="226" t="s">
        <v>420</v>
      </c>
    </row>
    <row r="303" spans="1:5" x14ac:dyDescent="0.25">
      <c r="A303" s="610" t="s">
        <v>1114</v>
      </c>
      <c r="B303" s="308" t="s">
        <v>424</v>
      </c>
      <c r="C303" s="668">
        <v>19201800243</v>
      </c>
      <c r="D303" s="30">
        <v>2.29</v>
      </c>
      <c r="E303" s="226" t="s">
        <v>420</v>
      </c>
    </row>
    <row r="304" spans="1:5" x14ac:dyDescent="0.25">
      <c r="A304" s="663" t="s">
        <v>1187</v>
      </c>
      <c r="B304" s="308" t="s">
        <v>422</v>
      </c>
      <c r="C304" s="672">
        <v>19201900341</v>
      </c>
      <c r="D304" s="659">
        <v>3.59</v>
      </c>
      <c r="E304" s="664" t="s">
        <v>419</v>
      </c>
    </row>
    <row r="305" spans="1:5" x14ac:dyDescent="0.25">
      <c r="A305" s="663" t="s">
        <v>1187</v>
      </c>
      <c r="B305" s="308" t="s">
        <v>422</v>
      </c>
      <c r="C305" s="672">
        <v>19201900328</v>
      </c>
      <c r="D305" s="659">
        <v>3.47</v>
      </c>
      <c r="E305" s="664" t="s">
        <v>419</v>
      </c>
    </row>
    <row r="306" spans="1:5" x14ac:dyDescent="0.25">
      <c r="A306" s="663" t="s">
        <v>1187</v>
      </c>
      <c r="B306" s="308" t="s">
        <v>422</v>
      </c>
      <c r="C306" s="672">
        <v>19201900387</v>
      </c>
      <c r="D306" s="659">
        <v>3.38</v>
      </c>
      <c r="E306" s="664" t="s">
        <v>419</v>
      </c>
    </row>
    <row r="307" spans="1:5" x14ac:dyDescent="0.25">
      <c r="A307" s="663" t="s">
        <v>1187</v>
      </c>
      <c r="B307" s="308" t="s">
        <v>422</v>
      </c>
      <c r="C307" s="672">
        <v>19201900386</v>
      </c>
      <c r="D307" s="659">
        <v>3.34</v>
      </c>
      <c r="E307" s="664" t="s">
        <v>419</v>
      </c>
    </row>
    <row r="308" spans="1:5" x14ac:dyDescent="0.25">
      <c r="A308" s="663" t="s">
        <v>1187</v>
      </c>
      <c r="B308" s="308" t="s">
        <v>422</v>
      </c>
      <c r="C308" s="672">
        <v>19201900238</v>
      </c>
      <c r="D308" s="659">
        <v>3.33</v>
      </c>
      <c r="E308" s="664" t="s">
        <v>419</v>
      </c>
    </row>
    <row r="309" spans="1:5" x14ac:dyDescent="0.25">
      <c r="A309" s="663" t="s">
        <v>1187</v>
      </c>
      <c r="B309" s="308" t="s">
        <v>422</v>
      </c>
      <c r="C309" s="672">
        <v>19201900389</v>
      </c>
      <c r="D309" s="659">
        <v>3.28</v>
      </c>
      <c r="E309" s="664" t="s">
        <v>419</v>
      </c>
    </row>
    <row r="310" spans="1:5" x14ac:dyDescent="0.25">
      <c r="A310" s="663" t="s">
        <v>1187</v>
      </c>
      <c r="B310" s="308" t="s">
        <v>422</v>
      </c>
      <c r="C310" s="672">
        <v>19201900260</v>
      </c>
      <c r="D310" s="659">
        <v>3.27</v>
      </c>
      <c r="E310" s="664" t="s">
        <v>419</v>
      </c>
    </row>
    <row r="311" spans="1:5" x14ac:dyDescent="0.25">
      <c r="A311" s="663" t="s">
        <v>1187</v>
      </c>
      <c r="B311" s="308" t="s">
        <v>422</v>
      </c>
      <c r="C311" s="672">
        <v>19201900354</v>
      </c>
      <c r="D311" s="659">
        <v>3.26</v>
      </c>
      <c r="E311" s="664" t="s">
        <v>419</v>
      </c>
    </row>
    <row r="312" spans="1:5" x14ac:dyDescent="0.25">
      <c r="A312" s="663" t="s">
        <v>1187</v>
      </c>
      <c r="B312" s="308" t="s">
        <v>422</v>
      </c>
      <c r="C312" s="672">
        <v>19201900320</v>
      </c>
      <c r="D312" s="659">
        <v>3.2</v>
      </c>
      <c r="E312" s="664" t="s">
        <v>419</v>
      </c>
    </row>
    <row r="313" spans="1:5" x14ac:dyDescent="0.25">
      <c r="A313" s="663" t="s">
        <v>1187</v>
      </c>
      <c r="B313" s="308" t="s">
        <v>422</v>
      </c>
      <c r="C313" s="672">
        <v>19201900371</v>
      </c>
      <c r="D313" s="659">
        <v>3.18</v>
      </c>
      <c r="E313" s="664" t="s">
        <v>419</v>
      </c>
    </row>
    <row r="314" spans="1:5" x14ac:dyDescent="0.25">
      <c r="A314" s="663" t="s">
        <v>1187</v>
      </c>
      <c r="B314" s="308" t="s">
        <v>422</v>
      </c>
      <c r="C314" s="672">
        <v>19201900394</v>
      </c>
      <c r="D314" s="659">
        <v>3.16</v>
      </c>
      <c r="E314" s="664" t="s">
        <v>419</v>
      </c>
    </row>
    <row r="315" spans="1:5" x14ac:dyDescent="0.25">
      <c r="A315" s="663" t="s">
        <v>1187</v>
      </c>
      <c r="B315" s="308" t="s">
        <v>422</v>
      </c>
      <c r="C315" s="672">
        <v>19201900374</v>
      </c>
      <c r="D315" s="659">
        <v>3.12</v>
      </c>
      <c r="E315" s="664" t="s">
        <v>419</v>
      </c>
    </row>
    <row r="316" spans="1:5" x14ac:dyDescent="0.25">
      <c r="A316" s="663" t="s">
        <v>1187</v>
      </c>
      <c r="B316" s="308" t="s">
        <v>422</v>
      </c>
      <c r="C316" s="672">
        <v>19201900258</v>
      </c>
      <c r="D316" s="659">
        <v>3.11</v>
      </c>
      <c r="E316" s="664" t="s">
        <v>419</v>
      </c>
    </row>
    <row r="317" spans="1:5" x14ac:dyDescent="0.25">
      <c r="A317" s="663" t="s">
        <v>1187</v>
      </c>
      <c r="B317" s="308" t="s">
        <v>422</v>
      </c>
      <c r="C317" s="672">
        <v>19201900310</v>
      </c>
      <c r="D317" s="659">
        <v>3.1</v>
      </c>
      <c r="E317" s="664" t="s">
        <v>419</v>
      </c>
    </row>
    <row r="318" spans="1:5" x14ac:dyDescent="0.25">
      <c r="A318" s="663" t="s">
        <v>1187</v>
      </c>
      <c r="B318" s="308" t="s">
        <v>422</v>
      </c>
      <c r="C318" s="672">
        <v>19201900232</v>
      </c>
      <c r="D318" s="659">
        <v>3.06</v>
      </c>
      <c r="E318" s="664" t="s">
        <v>419</v>
      </c>
    </row>
    <row r="319" spans="1:5" x14ac:dyDescent="0.25">
      <c r="A319" s="663" t="s">
        <v>1187</v>
      </c>
      <c r="B319" s="308" t="s">
        <v>422</v>
      </c>
      <c r="C319" s="672">
        <v>19201900367</v>
      </c>
      <c r="D319" s="659">
        <v>3.01</v>
      </c>
      <c r="E319" s="664" t="s">
        <v>419</v>
      </c>
    </row>
    <row r="320" spans="1:5" x14ac:dyDescent="0.25">
      <c r="A320" s="663" t="s">
        <v>1187</v>
      </c>
      <c r="B320" s="308" t="s">
        <v>422</v>
      </c>
      <c r="C320" s="672">
        <v>19201900391</v>
      </c>
      <c r="D320" s="659">
        <v>3</v>
      </c>
      <c r="E320" s="664" t="s">
        <v>419</v>
      </c>
    </row>
    <row r="321" spans="1:5" x14ac:dyDescent="0.25">
      <c r="A321" s="663" t="s">
        <v>1187</v>
      </c>
      <c r="B321" s="308" t="s">
        <v>422</v>
      </c>
      <c r="C321" s="672">
        <v>19201900351</v>
      </c>
      <c r="D321" s="659">
        <v>2.78</v>
      </c>
      <c r="E321" s="664" t="s">
        <v>419</v>
      </c>
    </row>
    <row r="322" spans="1:5" x14ac:dyDescent="0.25">
      <c r="A322" s="663" t="s">
        <v>1187</v>
      </c>
      <c r="B322" s="308" t="s">
        <v>422</v>
      </c>
      <c r="C322" s="672">
        <v>19201900377</v>
      </c>
      <c r="D322" s="659">
        <v>2.78</v>
      </c>
      <c r="E322" s="664" t="s">
        <v>419</v>
      </c>
    </row>
    <row r="323" spans="1:5" x14ac:dyDescent="0.25">
      <c r="A323" s="663" t="s">
        <v>1187</v>
      </c>
      <c r="B323" s="308" t="s">
        <v>422</v>
      </c>
      <c r="C323" s="672">
        <v>19201900373</v>
      </c>
      <c r="D323" s="659">
        <v>2.77</v>
      </c>
      <c r="E323" s="664" t="s">
        <v>419</v>
      </c>
    </row>
    <row r="324" spans="1:5" x14ac:dyDescent="0.25">
      <c r="A324" s="663" t="s">
        <v>1187</v>
      </c>
      <c r="B324" s="308" t="s">
        <v>422</v>
      </c>
      <c r="C324" s="672">
        <v>19201900308</v>
      </c>
      <c r="D324" s="659">
        <v>2.72</v>
      </c>
      <c r="E324" s="664" t="s">
        <v>419</v>
      </c>
    </row>
    <row r="325" spans="1:5" x14ac:dyDescent="0.25">
      <c r="A325" s="663" t="s">
        <v>1187</v>
      </c>
      <c r="B325" s="308" t="s">
        <v>422</v>
      </c>
      <c r="C325" s="672">
        <v>19201900314</v>
      </c>
      <c r="D325" s="659">
        <v>2.69</v>
      </c>
      <c r="E325" s="664" t="s">
        <v>419</v>
      </c>
    </row>
    <row r="326" spans="1:5" x14ac:dyDescent="0.25">
      <c r="A326" s="663" t="s">
        <v>1187</v>
      </c>
      <c r="B326" s="308" t="s">
        <v>422</v>
      </c>
      <c r="C326" s="672">
        <v>19201900340</v>
      </c>
      <c r="D326" s="659">
        <v>2.69</v>
      </c>
      <c r="E326" s="664" t="s">
        <v>419</v>
      </c>
    </row>
    <row r="327" spans="1:5" x14ac:dyDescent="0.25">
      <c r="A327" s="663" t="s">
        <v>1187</v>
      </c>
      <c r="B327" s="308" t="s">
        <v>422</v>
      </c>
      <c r="C327" s="672">
        <v>19201900352</v>
      </c>
      <c r="D327" s="659">
        <v>2.68</v>
      </c>
      <c r="E327" s="665" t="s">
        <v>420</v>
      </c>
    </row>
    <row r="328" spans="1:5" x14ac:dyDescent="0.25">
      <c r="A328" s="663" t="s">
        <v>1187</v>
      </c>
      <c r="B328" s="308" t="s">
        <v>422</v>
      </c>
      <c r="C328" s="672">
        <v>19201900369</v>
      </c>
      <c r="D328" s="659">
        <v>2.65</v>
      </c>
      <c r="E328" s="665" t="s">
        <v>420</v>
      </c>
    </row>
    <row r="329" spans="1:5" x14ac:dyDescent="0.25">
      <c r="A329" s="663" t="s">
        <v>1187</v>
      </c>
      <c r="B329" s="308" t="s">
        <v>422</v>
      </c>
      <c r="C329" s="672">
        <v>19201900234</v>
      </c>
      <c r="D329" s="659">
        <v>2.58</v>
      </c>
      <c r="E329" s="665" t="s">
        <v>420</v>
      </c>
    </row>
    <row r="330" spans="1:5" x14ac:dyDescent="0.25">
      <c r="A330" s="663" t="s">
        <v>1187</v>
      </c>
      <c r="B330" s="308" t="s">
        <v>422</v>
      </c>
      <c r="C330" s="672">
        <v>19201900357</v>
      </c>
      <c r="D330" s="659">
        <v>2.58</v>
      </c>
      <c r="E330" s="665" t="s">
        <v>420</v>
      </c>
    </row>
    <row r="331" spans="1:5" x14ac:dyDescent="0.25">
      <c r="A331" s="663" t="s">
        <v>1187</v>
      </c>
      <c r="B331" s="308" t="s">
        <v>422</v>
      </c>
      <c r="C331" s="672">
        <v>19201900393</v>
      </c>
      <c r="D331" s="659">
        <v>2.58</v>
      </c>
      <c r="E331" s="665" t="s">
        <v>420</v>
      </c>
    </row>
    <row r="332" spans="1:5" x14ac:dyDescent="0.25">
      <c r="A332" s="663" t="s">
        <v>1187</v>
      </c>
      <c r="B332" s="308" t="s">
        <v>422</v>
      </c>
      <c r="C332" s="672">
        <v>19201900337</v>
      </c>
      <c r="D332" s="659">
        <v>2.56</v>
      </c>
      <c r="E332" s="665" t="s">
        <v>420</v>
      </c>
    </row>
    <row r="333" spans="1:5" x14ac:dyDescent="0.25">
      <c r="A333" s="663" t="s">
        <v>1187</v>
      </c>
      <c r="B333" s="308" t="s">
        <v>422</v>
      </c>
      <c r="C333" s="672">
        <v>19201900313</v>
      </c>
      <c r="D333" s="659">
        <v>2.54</v>
      </c>
      <c r="E333" s="665" t="s">
        <v>420</v>
      </c>
    </row>
    <row r="334" spans="1:5" x14ac:dyDescent="0.25">
      <c r="A334" s="663" t="s">
        <v>1187</v>
      </c>
      <c r="B334" s="308" t="s">
        <v>422</v>
      </c>
      <c r="C334" s="672">
        <v>19201900330</v>
      </c>
      <c r="D334" s="659">
        <v>2.5299999999999998</v>
      </c>
      <c r="E334" s="665" t="s">
        <v>420</v>
      </c>
    </row>
    <row r="335" spans="1:5" x14ac:dyDescent="0.25">
      <c r="A335" s="663" t="s">
        <v>1187</v>
      </c>
      <c r="B335" s="308" t="s">
        <v>422</v>
      </c>
      <c r="C335" s="672">
        <v>19201900392</v>
      </c>
      <c r="D335" s="659">
        <v>2.5099999999999998</v>
      </c>
      <c r="E335" s="665" t="s">
        <v>420</v>
      </c>
    </row>
    <row r="336" spans="1:5" x14ac:dyDescent="0.25">
      <c r="A336" s="663" t="s">
        <v>1187</v>
      </c>
      <c r="B336" s="308" t="s">
        <v>422</v>
      </c>
      <c r="C336" s="672">
        <v>19201900347</v>
      </c>
      <c r="D336" s="659">
        <v>2.48</v>
      </c>
      <c r="E336" s="665" t="s">
        <v>420</v>
      </c>
    </row>
    <row r="337" spans="1:5" x14ac:dyDescent="0.25">
      <c r="A337" s="663" t="s">
        <v>1187</v>
      </c>
      <c r="B337" s="308" t="s">
        <v>422</v>
      </c>
      <c r="C337" s="672">
        <v>19201900345</v>
      </c>
      <c r="D337" s="659">
        <v>2.4300000000000002</v>
      </c>
      <c r="E337" s="665" t="s">
        <v>420</v>
      </c>
    </row>
    <row r="338" spans="1:5" x14ac:dyDescent="0.25">
      <c r="A338" s="663" t="s">
        <v>1187</v>
      </c>
      <c r="B338" s="308" t="s">
        <v>422</v>
      </c>
      <c r="C338" s="672">
        <v>19201900370</v>
      </c>
      <c r="D338" s="659">
        <v>2.4300000000000002</v>
      </c>
      <c r="E338" s="665" t="s">
        <v>420</v>
      </c>
    </row>
    <row r="339" spans="1:5" x14ac:dyDescent="0.25">
      <c r="A339" s="663" t="s">
        <v>1187</v>
      </c>
      <c r="B339" s="308" t="s">
        <v>422</v>
      </c>
      <c r="C339" s="672">
        <v>19201900266</v>
      </c>
      <c r="D339" s="659">
        <v>2.39</v>
      </c>
      <c r="E339" s="665" t="s">
        <v>420</v>
      </c>
    </row>
    <row r="340" spans="1:5" x14ac:dyDescent="0.25">
      <c r="A340" s="663" t="s">
        <v>1187</v>
      </c>
      <c r="B340" s="308" t="s">
        <v>422</v>
      </c>
      <c r="C340" s="672">
        <v>19201900273</v>
      </c>
      <c r="D340" s="659">
        <v>2.2999999999999998</v>
      </c>
      <c r="E340" s="665" t="s">
        <v>420</v>
      </c>
    </row>
    <row r="341" spans="1:5" x14ac:dyDescent="0.25">
      <c r="A341" s="663" t="s">
        <v>1187</v>
      </c>
      <c r="B341" s="308" t="s">
        <v>422</v>
      </c>
      <c r="C341" s="672">
        <v>19201900298</v>
      </c>
      <c r="D341" s="659">
        <v>2.29</v>
      </c>
      <c r="E341" s="665" t="s">
        <v>420</v>
      </c>
    </row>
    <row r="342" spans="1:5" x14ac:dyDescent="0.25">
      <c r="A342" s="663" t="s">
        <v>1187</v>
      </c>
      <c r="B342" s="308" t="s">
        <v>422</v>
      </c>
      <c r="C342" s="672">
        <v>19201900272</v>
      </c>
      <c r="D342" s="659">
        <v>2.2799999999999998</v>
      </c>
      <c r="E342" s="665" t="s">
        <v>420</v>
      </c>
    </row>
    <row r="343" spans="1:5" x14ac:dyDescent="0.25">
      <c r="A343" s="663" t="s">
        <v>1187</v>
      </c>
      <c r="B343" s="308" t="s">
        <v>422</v>
      </c>
      <c r="C343" s="672">
        <v>19201900270</v>
      </c>
      <c r="D343" s="659">
        <v>2.2599999999999998</v>
      </c>
      <c r="E343" s="665" t="s">
        <v>420</v>
      </c>
    </row>
    <row r="344" spans="1:5" x14ac:dyDescent="0.25">
      <c r="A344" s="663" t="s">
        <v>1187</v>
      </c>
      <c r="B344" s="308" t="s">
        <v>422</v>
      </c>
      <c r="C344" s="672">
        <v>19201900271</v>
      </c>
      <c r="D344" s="659">
        <v>2.2400000000000002</v>
      </c>
      <c r="E344" s="665" t="s">
        <v>420</v>
      </c>
    </row>
    <row r="345" spans="1:5" x14ac:dyDescent="0.25">
      <c r="A345" s="663" t="s">
        <v>1187</v>
      </c>
      <c r="B345" s="308" t="s">
        <v>422</v>
      </c>
      <c r="C345" s="672">
        <v>19201900276</v>
      </c>
      <c r="D345" s="659">
        <v>2.2200000000000002</v>
      </c>
      <c r="E345" s="665" t="s">
        <v>420</v>
      </c>
    </row>
    <row r="346" spans="1:5" x14ac:dyDescent="0.25">
      <c r="A346" s="663" t="s">
        <v>1187</v>
      </c>
      <c r="B346" s="308" t="s">
        <v>422</v>
      </c>
      <c r="C346" s="672">
        <v>19201900236</v>
      </c>
      <c r="D346" s="659">
        <v>2.2000000000000002</v>
      </c>
      <c r="E346" s="665" t="s">
        <v>420</v>
      </c>
    </row>
    <row r="347" spans="1:5" x14ac:dyDescent="0.25">
      <c r="A347" s="663" t="s">
        <v>1187</v>
      </c>
      <c r="B347" s="308" t="s">
        <v>422</v>
      </c>
      <c r="C347" s="672">
        <v>19201900295</v>
      </c>
      <c r="D347" s="659">
        <v>2.16</v>
      </c>
      <c r="E347" s="665" t="s">
        <v>420</v>
      </c>
    </row>
    <row r="348" spans="1:5" x14ac:dyDescent="0.25">
      <c r="A348" s="663" t="s">
        <v>1187</v>
      </c>
      <c r="B348" s="308" t="s">
        <v>422</v>
      </c>
      <c r="C348" s="672">
        <v>19201900362</v>
      </c>
      <c r="D348" s="659">
        <v>2.11</v>
      </c>
      <c r="E348" s="665" t="s">
        <v>420</v>
      </c>
    </row>
    <row r="349" spans="1:5" x14ac:dyDescent="0.25">
      <c r="A349" s="663" t="s">
        <v>1187</v>
      </c>
      <c r="B349" s="308" t="s">
        <v>422</v>
      </c>
      <c r="C349" s="672">
        <v>19201900381</v>
      </c>
      <c r="D349" s="659">
        <v>2.11</v>
      </c>
      <c r="E349" s="665" t="s">
        <v>420</v>
      </c>
    </row>
    <row r="350" spans="1:5" x14ac:dyDescent="0.25">
      <c r="A350" s="663" t="s">
        <v>1187</v>
      </c>
      <c r="B350" s="308" t="s">
        <v>422</v>
      </c>
      <c r="C350" s="672">
        <v>19201900264</v>
      </c>
      <c r="D350" s="659">
        <v>2.1</v>
      </c>
      <c r="E350" s="665" t="s">
        <v>420</v>
      </c>
    </row>
    <row r="351" spans="1:5" x14ac:dyDescent="0.25">
      <c r="A351" s="663" t="s">
        <v>1187</v>
      </c>
      <c r="B351" s="308" t="s">
        <v>422</v>
      </c>
      <c r="C351" s="672">
        <v>19201900303</v>
      </c>
      <c r="D351" s="659">
        <v>2.1</v>
      </c>
      <c r="E351" s="665" t="s">
        <v>420</v>
      </c>
    </row>
    <row r="352" spans="1:5" x14ac:dyDescent="0.25">
      <c r="A352" s="663" t="s">
        <v>1187</v>
      </c>
      <c r="B352" s="308" t="s">
        <v>422</v>
      </c>
      <c r="C352" s="672">
        <v>19201900361</v>
      </c>
      <c r="D352" s="659">
        <v>2.08</v>
      </c>
      <c r="E352" s="665" t="s">
        <v>420</v>
      </c>
    </row>
    <row r="353" spans="1:5" x14ac:dyDescent="0.25">
      <c r="A353" s="663" t="s">
        <v>1187</v>
      </c>
      <c r="B353" s="308" t="s">
        <v>422</v>
      </c>
      <c r="C353" s="672">
        <v>19201900384</v>
      </c>
      <c r="D353" s="659">
        <v>2.08</v>
      </c>
      <c r="E353" s="665" t="s">
        <v>420</v>
      </c>
    </row>
    <row r="354" spans="1:5" x14ac:dyDescent="0.25">
      <c r="A354" s="663" t="s">
        <v>1187</v>
      </c>
      <c r="B354" s="308" t="s">
        <v>422</v>
      </c>
      <c r="C354" s="672">
        <v>19201900349</v>
      </c>
      <c r="D354" s="659">
        <v>2.0499999999999998</v>
      </c>
      <c r="E354" s="665" t="s">
        <v>420</v>
      </c>
    </row>
    <row r="355" spans="1:5" x14ac:dyDescent="0.25">
      <c r="A355" s="663" t="s">
        <v>1187</v>
      </c>
      <c r="B355" s="308" t="s">
        <v>422</v>
      </c>
      <c r="C355" s="672">
        <v>19201900390</v>
      </c>
      <c r="D355" s="659">
        <v>1.98</v>
      </c>
      <c r="E355" s="665" t="s">
        <v>420</v>
      </c>
    </row>
    <row r="356" spans="1:5" x14ac:dyDescent="0.25">
      <c r="A356" s="663" t="s">
        <v>1187</v>
      </c>
      <c r="B356" s="308" t="s">
        <v>422</v>
      </c>
      <c r="C356" s="672">
        <v>19201900245</v>
      </c>
      <c r="D356" s="659">
        <v>1.72</v>
      </c>
      <c r="E356" s="665" t="s">
        <v>420</v>
      </c>
    </row>
    <row r="357" spans="1:5" x14ac:dyDescent="0.25">
      <c r="A357" s="663" t="s">
        <v>1187</v>
      </c>
      <c r="B357" s="308" t="s">
        <v>422</v>
      </c>
      <c r="C357" s="672">
        <v>19201900331</v>
      </c>
      <c r="D357" s="659">
        <v>1.58</v>
      </c>
      <c r="E357" s="665" t="s">
        <v>420</v>
      </c>
    </row>
    <row r="358" spans="1:5" x14ac:dyDescent="0.25">
      <c r="A358" s="663" t="s">
        <v>1187</v>
      </c>
      <c r="B358" s="308" t="s">
        <v>422</v>
      </c>
      <c r="C358" s="672">
        <v>19201900228</v>
      </c>
      <c r="D358" s="659">
        <v>1.28</v>
      </c>
      <c r="E358" s="665" t="s">
        <v>420</v>
      </c>
    </row>
    <row r="359" spans="1:5" x14ac:dyDescent="0.25">
      <c r="A359" s="663" t="s">
        <v>1187</v>
      </c>
      <c r="B359" s="308" t="s">
        <v>422</v>
      </c>
      <c r="C359" s="672">
        <v>19201900230</v>
      </c>
      <c r="D359" s="659">
        <v>1.23</v>
      </c>
      <c r="E359" s="665" t="s">
        <v>420</v>
      </c>
    </row>
    <row r="360" spans="1:5" x14ac:dyDescent="0.25">
      <c r="A360" s="663" t="s">
        <v>1187</v>
      </c>
      <c r="B360" s="308" t="s">
        <v>423</v>
      </c>
      <c r="C360" s="673">
        <v>19201900239</v>
      </c>
      <c r="D360" s="678">
        <v>3.47</v>
      </c>
      <c r="E360" s="674" t="s">
        <v>419</v>
      </c>
    </row>
    <row r="361" spans="1:5" x14ac:dyDescent="0.25">
      <c r="A361" s="663" t="s">
        <v>1187</v>
      </c>
      <c r="B361" s="308" t="s">
        <v>423</v>
      </c>
      <c r="C361" s="673">
        <v>19201900380</v>
      </c>
      <c r="D361" s="678">
        <v>3.44</v>
      </c>
      <c r="E361" s="674" t="s">
        <v>419</v>
      </c>
    </row>
    <row r="362" spans="1:5" x14ac:dyDescent="0.25">
      <c r="A362" s="663" t="s">
        <v>1187</v>
      </c>
      <c r="B362" s="308" t="s">
        <v>423</v>
      </c>
      <c r="C362" s="673">
        <v>19201900319</v>
      </c>
      <c r="D362" s="678">
        <v>3.4</v>
      </c>
      <c r="E362" s="674" t="s">
        <v>419</v>
      </c>
    </row>
    <row r="363" spans="1:5" x14ac:dyDescent="0.25">
      <c r="A363" s="663" t="s">
        <v>1187</v>
      </c>
      <c r="B363" s="308" t="s">
        <v>423</v>
      </c>
      <c r="C363" s="673">
        <v>19201900339</v>
      </c>
      <c r="D363" s="678">
        <v>3.27</v>
      </c>
      <c r="E363" s="674" t="s">
        <v>419</v>
      </c>
    </row>
    <row r="364" spans="1:5" x14ac:dyDescent="0.25">
      <c r="A364" s="663" t="s">
        <v>1187</v>
      </c>
      <c r="B364" s="308" t="s">
        <v>423</v>
      </c>
      <c r="C364" s="673">
        <v>19201900257</v>
      </c>
      <c r="D364" s="678">
        <v>3.1</v>
      </c>
      <c r="E364" s="674" t="s">
        <v>419</v>
      </c>
    </row>
    <row r="365" spans="1:5" x14ac:dyDescent="0.25">
      <c r="A365" s="663" t="s">
        <v>1187</v>
      </c>
      <c r="B365" s="308" t="s">
        <v>423</v>
      </c>
      <c r="C365" s="673">
        <v>19201900312</v>
      </c>
      <c r="D365" s="678">
        <v>3.07</v>
      </c>
      <c r="E365" s="674" t="s">
        <v>419</v>
      </c>
    </row>
    <row r="366" spans="1:5" x14ac:dyDescent="0.25">
      <c r="A366" s="663" t="s">
        <v>1187</v>
      </c>
      <c r="B366" s="308" t="s">
        <v>423</v>
      </c>
      <c r="C366" s="673">
        <v>19201900306</v>
      </c>
      <c r="D366" s="678">
        <v>2.99</v>
      </c>
      <c r="E366" s="674" t="s">
        <v>419</v>
      </c>
    </row>
    <row r="367" spans="1:5" x14ac:dyDescent="0.25">
      <c r="A367" s="663" t="s">
        <v>1187</v>
      </c>
      <c r="B367" s="308" t="s">
        <v>423</v>
      </c>
      <c r="C367" s="673">
        <v>19201900247</v>
      </c>
      <c r="D367" s="678">
        <v>2.98</v>
      </c>
      <c r="E367" s="674" t="s">
        <v>419</v>
      </c>
    </row>
    <row r="368" spans="1:5" x14ac:dyDescent="0.25">
      <c r="A368" s="663" t="s">
        <v>1187</v>
      </c>
      <c r="B368" s="308" t="s">
        <v>423</v>
      </c>
      <c r="C368" s="673">
        <v>19201900304</v>
      </c>
      <c r="D368" s="678">
        <v>2.9</v>
      </c>
      <c r="E368" s="674" t="s">
        <v>419</v>
      </c>
    </row>
    <row r="369" spans="1:5" x14ac:dyDescent="0.25">
      <c r="A369" s="663" t="s">
        <v>1187</v>
      </c>
      <c r="B369" s="308" t="s">
        <v>423</v>
      </c>
      <c r="C369" s="673">
        <v>19201900338</v>
      </c>
      <c r="D369" s="678">
        <v>2.88</v>
      </c>
      <c r="E369" s="674" t="s">
        <v>419</v>
      </c>
    </row>
    <row r="370" spans="1:5" x14ac:dyDescent="0.25">
      <c r="A370" s="663" t="s">
        <v>1187</v>
      </c>
      <c r="B370" s="308" t="s">
        <v>423</v>
      </c>
      <c r="C370" s="673">
        <v>19201900343</v>
      </c>
      <c r="D370" s="678">
        <v>2.75</v>
      </c>
      <c r="E370" s="674" t="s">
        <v>419</v>
      </c>
    </row>
    <row r="371" spans="1:5" x14ac:dyDescent="0.25">
      <c r="A371" s="663" t="s">
        <v>1187</v>
      </c>
      <c r="B371" s="308" t="s">
        <v>423</v>
      </c>
      <c r="C371" s="673">
        <v>19201900316</v>
      </c>
      <c r="D371" s="678">
        <v>2.64</v>
      </c>
      <c r="E371" s="665" t="s">
        <v>420</v>
      </c>
    </row>
    <row r="372" spans="1:5" x14ac:dyDescent="0.25">
      <c r="A372" s="663" t="s">
        <v>1187</v>
      </c>
      <c r="B372" s="308" t="s">
        <v>423</v>
      </c>
      <c r="C372" s="673">
        <v>19201900302</v>
      </c>
      <c r="D372" s="678">
        <v>2.58</v>
      </c>
      <c r="E372" s="665" t="s">
        <v>420</v>
      </c>
    </row>
    <row r="373" spans="1:5" x14ac:dyDescent="0.25">
      <c r="A373" s="663" t="s">
        <v>1187</v>
      </c>
      <c r="B373" s="308" t="s">
        <v>423</v>
      </c>
      <c r="C373" s="673">
        <v>19201900244</v>
      </c>
      <c r="D373" s="678">
        <v>2.37</v>
      </c>
      <c r="E373" s="665" t="s">
        <v>420</v>
      </c>
    </row>
    <row r="374" spans="1:5" x14ac:dyDescent="0.25">
      <c r="A374" s="663" t="s">
        <v>1187</v>
      </c>
      <c r="B374" s="308" t="s">
        <v>423</v>
      </c>
      <c r="C374" s="673">
        <v>19201900346</v>
      </c>
      <c r="D374" s="678">
        <v>2.2799999999999998</v>
      </c>
      <c r="E374" s="665" t="s">
        <v>420</v>
      </c>
    </row>
    <row r="375" spans="1:5" x14ac:dyDescent="0.25">
      <c r="A375" s="663" t="s">
        <v>1187</v>
      </c>
      <c r="B375" s="308" t="s">
        <v>423</v>
      </c>
      <c r="C375" s="673">
        <v>19201900383</v>
      </c>
      <c r="D375" s="678">
        <v>2.25</v>
      </c>
      <c r="E375" s="665" t="s">
        <v>420</v>
      </c>
    </row>
    <row r="376" spans="1:5" x14ac:dyDescent="0.25">
      <c r="A376" s="663" t="s">
        <v>1187</v>
      </c>
      <c r="B376" s="308" t="s">
        <v>423</v>
      </c>
      <c r="C376" s="673">
        <v>19201900325</v>
      </c>
      <c r="D376" s="678">
        <v>2.2200000000000002</v>
      </c>
      <c r="E376" s="665" t="s">
        <v>420</v>
      </c>
    </row>
    <row r="377" spans="1:5" x14ac:dyDescent="0.25">
      <c r="A377" s="663" t="s">
        <v>1187</v>
      </c>
      <c r="B377" s="308" t="s">
        <v>423</v>
      </c>
      <c r="C377" s="673">
        <v>19201900224</v>
      </c>
      <c r="D377" s="678">
        <v>2.14</v>
      </c>
      <c r="E377" s="665" t="s">
        <v>420</v>
      </c>
    </row>
    <row r="378" spans="1:5" x14ac:dyDescent="0.25">
      <c r="A378" s="663" t="s">
        <v>1187</v>
      </c>
      <c r="B378" s="308" t="s">
        <v>423</v>
      </c>
      <c r="C378" s="673">
        <v>19201900294</v>
      </c>
      <c r="D378" s="678">
        <v>2.14</v>
      </c>
      <c r="E378" s="665" t="s">
        <v>420</v>
      </c>
    </row>
    <row r="379" spans="1:5" x14ac:dyDescent="0.25">
      <c r="A379" s="663" t="s">
        <v>1187</v>
      </c>
      <c r="B379" s="308" t="s">
        <v>423</v>
      </c>
      <c r="C379" s="673">
        <v>19201900360</v>
      </c>
      <c r="D379" s="678">
        <v>2.0299999999999998</v>
      </c>
      <c r="E379" s="665" t="s">
        <v>420</v>
      </c>
    </row>
    <row r="380" spans="1:5" x14ac:dyDescent="0.25">
      <c r="A380" s="663" t="s">
        <v>1187</v>
      </c>
      <c r="B380" s="308" t="s">
        <v>423</v>
      </c>
      <c r="C380" s="673">
        <v>19201900235</v>
      </c>
      <c r="D380" s="678">
        <v>1.95</v>
      </c>
      <c r="E380" s="665" t="s">
        <v>420</v>
      </c>
    </row>
    <row r="381" spans="1:5" x14ac:dyDescent="0.25">
      <c r="A381" s="663" t="s">
        <v>1187</v>
      </c>
      <c r="B381" s="308" t="s">
        <v>423</v>
      </c>
      <c r="C381" s="673">
        <v>19201900324</v>
      </c>
      <c r="D381" s="678">
        <v>1.91</v>
      </c>
      <c r="E381" s="665" t="s">
        <v>420</v>
      </c>
    </row>
    <row r="382" spans="1:5" x14ac:dyDescent="0.25">
      <c r="A382" s="663" t="s">
        <v>1187</v>
      </c>
      <c r="B382" s="308" t="s">
        <v>424</v>
      </c>
      <c r="C382" s="673">
        <v>19201900233</v>
      </c>
      <c r="D382" s="678">
        <v>3.41</v>
      </c>
      <c r="E382" s="674" t="s">
        <v>419</v>
      </c>
    </row>
    <row r="383" spans="1:5" x14ac:dyDescent="0.25">
      <c r="A383" s="663" t="s">
        <v>1187</v>
      </c>
      <c r="B383" s="308" t="s">
        <v>424</v>
      </c>
      <c r="C383" s="673">
        <v>19201900334</v>
      </c>
      <c r="D383" s="678">
        <v>3.28</v>
      </c>
      <c r="E383" s="674" t="s">
        <v>419</v>
      </c>
    </row>
    <row r="384" spans="1:5" x14ac:dyDescent="0.25">
      <c r="A384" s="663" t="s">
        <v>1187</v>
      </c>
      <c r="B384" s="308" t="s">
        <v>424</v>
      </c>
      <c r="C384" s="673">
        <v>19201900382</v>
      </c>
      <c r="D384" s="678">
        <v>3.28</v>
      </c>
      <c r="E384" s="674" t="s">
        <v>419</v>
      </c>
    </row>
    <row r="385" spans="1:5" x14ac:dyDescent="0.25">
      <c r="A385" s="663" t="s">
        <v>1187</v>
      </c>
      <c r="B385" s="308" t="s">
        <v>424</v>
      </c>
      <c r="C385" s="673">
        <v>19201900309</v>
      </c>
      <c r="D385" s="678">
        <v>3.27</v>
      </c>
      <c r="E385" s="674" t="s">
        <v>419</v>
      </c>
    </row>
    <row r="386" spans="1:5" x14ac:dyDescent="0.25">
      <c r="A386" s="663" t="s">
        <v>1187</v>
      </c>
      <c r="B386" s="308" t="s">
        <v>424</v>
      </c>
      <c r="C386" s="673">
        <v>19201900323</v>
      </c>
      <c r="D386" s="678">
        <v>3.26</v>
      </c>
      <c r="E386" s="674" t="s">
        <v>419</v>
      </c>
    </row>
    <row r="387" spans="1:5" x14ac:dyDescent="0.25">
      <c r="A387" s="663" t="s">
        <v>1187</v>
      </c>
      <c r="B387" s="308" t="s">
        <v>424</v>
      </c>
      <c r="C387" s="673">
        <v>19201900307</v>
      </c>
      <c r="D387" s="678">
        <v>3.23</v>
      </c>
      <c r="E387" s="674" t="s">
        <v>419</v>
      </c>
    </row>
    <row r="388" spans="1:5" x14ac:dyDescent="0.25">
      <c r="A388" s="663" t="s">
        <v>1187</v>
      </c>
      <c r="B388" s="308" t="s">
        <v>424</v>
      </c>
      <c r="C388" s="673">
        <v>19201900366</v>
      </c>
      <c r="D388" s="678">
        <v>3.22</v>
      </c>
      <c r="E388" s="674" t="s">
        <v>419</v>
      </c>
    </row>
    <row r="389" spans="1:5" x14ac:dyDescent="0.25">
      <c r="A389" s="663" t="s">
        <v>1187</v>
      </c>
      <c r="B389" s="308" t="s">
        <v>424</v>
      </c>
      <c r="C389" s="673">
        <v>19201900376</v>
      </c>
      <c r="D389" s="678">
        <v>3.2</v>
      </c>
      <c r="E389" s="674" t="s">
        <v>419</v>
      </c>
    </row>
    <row r="390" spans="1:5" x14ac:dyDescent="0.25">
      <c r="A390" s="663" t="s">
        <v>1187</v>
      </c>
      <c r="B390" s="308" t="s">
        <v>424</v>
      </c>
      <c r="C390" s="673">
        <v>19201900317</v>
      </c>
      <c r="D390" s="678">
        <v>2.77</v>
      </c>
      <c r="E390" s="674" t="s">
        <v>419</v>
      </c>
    </row>
    <row r="391" spans="1:5" x14ac:dyDescent="0.25">
      <c r="A391" s="663" t="s">
        <v>1187</v>
      </c>
      <c r="B391" s="308" t="s">
        <v>424</v>
      </c>
      <c r="C391" s="673">
        <v>19201900353</v>
      </c>
      <c r="D391" s="678">
        <v>2.4900000000000002</v>
      </c>
      <c r="E391" s="665" t="s">
        <v>420</v>
      </c>
    </row>
    <row r="392" spans="1:5" x14ac:dyDescent="0.25">
      <c r="A392" s="663" t="s">
        <v>1187</v>
      </c>
      <c r="B392" s="308" t="s">
        <v>424</v>
      </c>
      <c r="C392" s="673">
        <v>19201900335</v>
      </c>
      <c r="D392" s="678">
        <v>2.48</v>
      </c>
      <c r="E392" s="665" t="s">
        <v>420</v>
      </c>
    </row>
    <row r="393" spans="1:5" x14ac:dyDescent="0.25">
      <c r="A393" s="663" t="s">
        <v>1187</v>
      </c>
      <c r="B393" s="308" t="s">
        <v>424</v>
      </c>
      <c r="C393" s="673">
        <v>19201900375</v>
      </c>
      <c r="D393" s="678">
        <v>2.39</v>
      </c>
      <c r="E393" s="665" t="s">
        <v>420</v>
      </c>
    </row>
    <row r="394" spans="1:5" x14ac:dyDescent="0.25">
      <c r="A394" s="663" t="s">
        <v>1187</v>
      </c>
      <c r="B394" s="308" t="s">
        <v>424</v>
      </c>
      <c r="C394" s="673">
        <v>19201900311</v>
      </c>
      <c r="D394" s="678">
        <v>2.38</v>
      </c>
      <c r="E394" s="665" t="s">
        <v>420</v>
      </c>
    </row>
    <row r="395" spans="1:5" x14ac:dyDescent="0.25">
      <c r="A395" s="663" t="s">
        <v>1187</v>
      </c>
      <c r="B395" s="308" t="s">
        <v>424</v>
      </c>
      <c r="C395" s="673">
        <v>19201900372</v>
      </c>
      <c r="D395" s="678">
        <v>2.37</v>
      </c>
      <c r="E395" s="665" t="s">
        <v>420</v>
      </c>
    </row>
    <row r="396" spans="1:5" x14ac:dyDescent="0.25">
      <c r="A396" s="663" t="s">
        <v>1187</v>
      </c>
      <c r="B396" s="308" t="s">
        <v>424</v>
      </c>
      <c r="C396" s="673">
        <v>19201900315</v>
      </c>
      <c r="D396" s="678">
        <v>2.25</v>
      </c>
      <c r="E396" s="665" t="s">
        <v>420</v>
      </c>
    </row>
    <row r="397" spans="1:5" x14ac:dyDescent="0.25">
      <c r="A397" s="663" t="s">
        <v>1187</v>
      </c>
      <c r="B397" s="308" t="s">
        <v>424</v>
      </c>
      <c r="C397" s="673">
        <v>19201900378</v>
      </c>
      <c r="D397" s="678">
        <v>2.25</v>
      </c>
      <c r="E397" s="665" t="s">
        <v>420</v>
      </c>
    </row>
    <row r="398" spans="1:5" x14ac:dyDescent="0.25">
      <c r="A398" s="663" t="s">
        <v>1238</v>
      </c>
      <c r="B398" s="308" t="s">
        <v>422</v>
      </c>
      <c r="C398" s="30">
        <v>19202000342</v>
      </c>
      <c r="D398" s="2">
        <v>3.66</v>
      </c>
      <c r="E398" s="674" t="s">
        <v>419</v>
      </c>
    </row>
    <row r="399" spans="1:5" x14ac:dyDescent="0.25">
      <c r="A399" s="663" t="s">
        <v>1238</v>
      </c>
      <c r="B399" s="308" t="s">
        <v>422</v>
      </c>
      <c r="C399" s="30">
        <v>19202000336</v>
      </c>
      <c r="D399" s="2">
        <v>3.49</v>
      </c>
      <c r="E399" s="674" t="s">
        <v>419</v>
      </c>
    </row>
    <row r="400" spans="1:5" x14ac:dyDescent="0.25">
      <c r="A400" s="663" t="s">
        <v>1238</v>
      </c>
      <c r="B400" s="308" t="s">
        <v>422</v>
      </c>
      <c r="C400" s="30">
        <v>19202000299</v>
      </c>
      <c r="D400" s="2">
        <v>3.45</v>
      </c>
      <c r="E400" s="674" t="s">
        <v>419</v>
      </c>
    </row>
    <row r="401" spans="1:5" x14ac:dyDescent="0.25">
      <c r="A401" s="663" t="s">
        <v>1238</v>
      </c>
      <c r="B401" s="308" t="s">
        <v>422</v>
      </c>
      <c r="C401" s="30">
        <v>19202000301</v>
      </c>
      <c r="D401" s="2">
        <v>3.29</v>
      </c>
      <c r="E401" s="674" t="s">
        <v>419</v>
      </c>
    </row>
    <row r="402" spans="1:5" x14ac:dyDescent="0.25">
      <c r="A402" s="663" t="s">
        <v>1238</v>
      </c>
      <c r="B402" s="308" t="s">
        <v>422</v>
      </c>
      <c r="C402" s="30">
        <v>19202000296</v>
      </c>
      <c r="D402" s="2">
        <v>3.2</v>
      </c>
      <c r="E402" s="674" t="s">
        <v>419</v>
      </c>
    </row>
    <row r="403" spans="1:5" x14ac:dyDescent="0.25">
      <c r="A403" s="663" t="s">
        <v>1238</v>
      </c>
      <c r="B403" s="308" t="s">
        <v>422</v>
      </c>
      <c r="C403" s="30">
        <v>19202000308</v>
      </c>
      <c r="D403" s="2">
        <v>3.06</v>
      </c>
      <c r="E403" s="674" t="s">
        <v>419</v>
      </c>
    </row>
    <row r="404" spans="1:5" x14ac:dyDescent="0.25">
      <c r="A404" s="663" t="s">
        <v>1238</v>
      </c>
      <c r="B404" s="308" t="s">
        <v>422</v>
      </c>
      <c r="C404" s="30">
        <v>19202000324</v>
      </c>
      <c r="D404" s="2">
        <v>3.04</v>
      </c>
      <c r="E404" s="674" t="s">
        <v>419</v>
      </c>
    </row>
    <row r="405" spans="1:5" x14ac:dyDescent="0.25">
      <c r="A405" s="663" t="s">
        <v>1238</v>
      </c>
      <c r="B405" s="308" t="s">
        <v>422</v>
      </c>
      <c r="C405" s="30">
        <v>19202000337</v>
      </c>
      <c r="D405" s="2">
        <v>2.87</v>
      </c>
      <c r="E405" s="674" t="s">
        <v>419</v>
      </c>
    </row>
    <row r="406" spans="1:5" x14ac:dyDescent="0.25">
      <c r="A406" s="663" t="s">
        <v>1238</v>
      </c>
      <c r="B406" s="308" t="s">
        <v>422</v>
      </c>
      <c r="C406" s="30">
        <v>19202000339</v>
      </c>
      <c r="D406" s="2">
        <v>2.83</v>
      </c>
      <c r="E406" s="674" t="s">
        <v>419</v>
      </c>
    </row>
    <row r="407" spans="1:5" x14ac:dyDescent="0.25">
      <c r="A407" s="663" t="s">
        <v>1238</v>
      </c>
      <c r="B407" s="308" t="s">
        <v>422</v>
      </c>
      <c r="C407" s="30">
        <v>19202000341</v>
      </c>
      <c r="D407" s="2">
        <v>2.76</v>
      </c>
      <c r="E407" s="674" t="s">
        <v>419</v>
      </c>
    </row>
    <row r="408" spans="1:5" x14ac:dyDescent="0.25">
      <c r="A408" s="663" t="s">
        <v>1238</v>
      </c>
      <c r="B408" s="308" t="s">
        <v>422</v>
      </c>
      <c r="C408" s="2">
        <v>19202000292</v>
      </c>
      <c r="D408" s="2">
        <v>2.75</v>
      </c>
      <c r="E408" s="665" t="s">
        <v>420</v>
      </c>
    </row>
    <row r="409" spans="1:5" x14ac:dyDescent="0.25">
      <c r="A409" s="663" t="s">
        <v>1238</v>
      </c>
      <c r="B409" s="308" t="s">
        <v>422</v>
      </c>
      <c r="C409" s="2">
        <v>19202000297</v>
      </c>
      <c r="D409" s="2">
        <v>2.75</v>
      </c>
      <c r="E409" s="665" t="s">
        <v>420</v>
      </c>
    </row>
    <row r="410" spans="1:5" x14ac:dyDescent="0.25">
      <c r="A410" s="663" t="s">
        <v>1238</v>
      </c>
      <c r="B410" s="308" t="s">
        <v>422</v>
      </c>
      <c r="C410" s="2">
        <v>19202000295</v>
      </c>
      <c r="D410" s="2">
        <v>2.74</v>
      </c>
      <c r="E410" s="665" t="s">
        <v>420</v>
      </c>
    </row>
    <row r="411" spans="1:5" x14ac:dyDescent="0.25">
      <c r="A411" s="663" t="s">
        <v>1238</v>
      </c>
      <c r="B411" s="308" t="s">
        <v>422</v>
      </c>
      <c r="C411" s="2">
        <v>19202000338</v>
      </c>
      <c r="D411" s="2">
        <v>2.74</v>
      </c>
      <c r="E411" s="665" t="s">
        <v>420</v>
      </c>
    </row>
    <row r="412" spans="1:5" x14ac:dyDescent="0.25">
      <c r="A412" s="663" t="s">
        <v>1238</v>
      </c>
      <c r="B412" s="308" t="s">
        <v>422</v>
      </c>
      <c r="C412" s="2">
        <v>19202000306</v>
      </c>
      <c r="D412" s="2">
        <v>2.69</v>
      </c>
      <c r="E412" s="665" t="s">
        <v>420</v>
      </c>
    </row>
    <row r="413" spans="1:5" x14ac:dyDescent="0.25">
      <c r="A413" s="663" t="s">
        <v>1238</v>
      </c>
      <c r="B413" s="308" t="s">
        <v>422</v>
      </c>
      <c r="C413" s="2">
        <v>19202000318</v>
      </c>
      <c r="D413" s="2">
        <v>2.64</v>
      </c>
      <c r="E413" s="665" t="s">
        <v>420</v>
      </c>
    </row>
    <row r="414" spans="1:5" x14ac:dyDescent="0.25">
      <c r="A414" s="663" t="s">
        <v>1238</v>
      </c>
      <c r="B414" s="308" t="s">
        <v>422</v>
      </c>
      <c r="C414" s="2">
        <v>19202000298</v>
      </c>
      <c r="D414" s="2">
        <v>2.63</v>
      </c>
      <c r="E414" s="665" t="s">
        <v>420</v>
      </c>
    </row>
    <row r="415" spans="1:5" x14ac:dyDescent="0.25">
      <c r="A415" s="663" t="s">
        <v>1238</v>
      </c>
      <c r="B415" s="308" t="s">
        <v>422</v>
      </c>
      <c r="C415" s="2">
        <v>19202000335</v>
      </c>
      <c r="D415" s="2">
        <v>2.63</v>
      </c>
      <c r="E415" s="665" t="s">
        <v>420</v>
      </c>
    </row>
    <row r="416" spans="1:5" x14ac:dyDescent="0.25">
      <c r="A416" s="663" t="s">
        <v>1238</v>
      </c>
      <c r="B416" s="308" t="s">
        <v>422</v>
      </c>
      <c r="C416" s="2">
        <v>19202000334</v>
      </c>
      <c r="D416" s="2">
        <v>2.62</v>
      </c>
      <c r="E416" s="665" t="s">
        <v>420</v>
      </c>
    </row>
    <row r="417" spans="1:5" x14ac:dyDescent="0.25">
      <c r="A417" s="663" t="s">
        <v>1238</v>
      </c>
      <c r="B417" s="308" t="s">
        <v>422</v>
      </c>
      <c r="C417" s="2">
        <v>19202000325</v>
      </c>
      <c r="D417" s="2">
        <v>2.5299999999999998</v>
      </c>
      <c r="E417" s="665" t="s">
        <v>420</v>
      </c>
    </row>
    <row r="418" spans="1:5" x14ac:dyDescent="0.25">
      <c r="A418" s="663" t="s">
        <v>1238</v>
      </c>
      <c r="B418" s="308" t="s">
        <v>422</v>
      </c>
      <c r="C418" s="2">
        <v>19202000348</v>
      </c>
      <c r="D418" s="2">
        <v>2.5099999999999998</v>
      </c>
      <c r="E418" s="665" t="s">
        <v>420</v>
      </c>
    </row>
    <row r="419" spans="1:5" x14ac:dyDescent="0.25">
      <c r="A419" s="663" t="s">
        <v>1238</v>
      </c>
      <c r="B419" s="308" t="s">
        <v>422</v>
      </c>
      <c r="C419" s="2">
        <v>19202000317</v>
      </c>
      <c r="D419" s="2">
        <v>2.36</v>
      </c>
      <c r="E419" s="665" t="s">
        <v>420</v>
      </c>
    </row>
    <row r="420" spans="1:5" x14ac:dyDescent="0.25">
      <c r="A420" s="663" t="s">
        <v>1238</v>
      </c>
      <c r="B420" s="308" t="s">
        <v>422</v>
      </c>
      <c r="C420" s="2">
        <v>19202000307</v>
      </c>
      <c r="D420" s="2">
        <v>2.31</v>
      </c>
      <c r="E420" s="665" t="s">
        <v>420</v>
      </c>
    </row>
    <row r="421" spans="1:5" x14ac:dyDescent="0.25">
      <c r="A421" s="663" t="s">
        <v>1238</v>
      </c>
      <c r="B421" s="308" t="s">
        <v>422</v>
      </c>
      <c r="C421" s="2">
        <v>19202000322</v>
      </c>
      <c r="D421" s="2">
        <v>2.31</v>
      </c>
      <c r="E421" s="665" t="s">
        <v>420</v>
      </c>
    </row>
    <row r="422" spans="1:5" x14ac:dyDescent="0.25">
      <c r="A422" s="663" t="s">
        <v>1238</v>
      </c>
      <c r="B422" s="308" t="s">
        <v>422</v>
      </c>
      <c r="C422" s="2">
        <v>19202000287</v>
      </c>
      <c r="D422" s="2">
        <v>2.29</v>
      </c>
      <c r="E422" s="665" t="s">
        <v>420</v>
      </c>
    </row>
    <row r="423" spans="1:5" s="647" customFormat="1" x14ac:dyDescent="0.25">
      <c r="A423" s="663" t="s">
        <v>1238</v>
      </c>
      <c r="B423" s="308" t="s">
        <v>422</v>
      </c>
      <c r="C423" s="2">
        <v>19202000305</v>
      </c>
      <c r="D423" s="2">
        <v>2.13</v>
      </c>
      <c r="E423" s="665" t="s">
        <v>420</v>
      </c>
    </row>
    <row r="424" spans="1:5" s="647" customFormat="1" x14ac:dyDescent="0.25">
      <c r="A424" s="663" t="s">
        <v>1238</v>
      </c>
      <c r="B424" s="308" t="s">
        <v>422</v>
      </c>
      <c r="C424" s="2">
        <v>19202000328</v>
      </c>
      <c r="D424" s="2">
        <v>2.13</v>
      </c>
      <c r="E424" s="665" t="s">
        <v>420</v>
      </c>
    </row>
    <row r="425" spans="1:5" s="647" customFormat="1" x14ac:dyDescent="0.25">
      <c r="A425" s="663" t="s">
        <v>1238</v>
      </c>
      <c r="B425" s="308" t="s">
        <v>422</v>
      </c>
      <c r="C425" s="2">
        <v>19202000314</v>
      </c>
      <c r="D425" s="2">
        <v>2.12</v>
      </c>
      <c r="E425" s="665" t="s">
        <v>420</v>
      </c>
    </row>
    <row r="426" spans="1:5" s="647" customFormat="1" x14ac:dyDescent="0.25">
      <c r="A426" s="663" t="s">
        <v>1238</v>
      </c>
      <c r="B426" s="308" t="s">
        <v>422</v>
      </c>
      <c r="C426" s="2">
        <v>19202000346</v>
      </c>
      <c r="D426" s="2">
        <v>2.11</v>
      </c>
      <c r="E426" s="665" t="s">
        <v>420</v>
      </c>
    </row>
    <row r="427" spans="1:5" s="647" customFormat="1" x14ac:dyDescent="0.25">
      <c r="A427" s="663" t="s">
        <v>1238</v>
      </c>
      <c r="B427" s="308" t="s">
        <v>422</v>
      </c>
      <c r="C427" s="2">
        <v>19202000326</v>
      </c>
      <c r="D427" s="2">
        <v>2.06</v>
      </c>
      <c r="E427" s="665" t="s">
        <v>420</v>
      </c>
    </row>
    <row r="428" spans="1:5" s="647" customFormat="1" x14ac:dyDescent="0.25">
      <c r="A428" s="663" t="s">
        <v>1238</v>
      </c>
      <c r="B428" s="308" t="s">
        <v>422</v>
      </c>
      <c r="C428" s="2">
        <v>19202000349</v>
      </c>
      <c r="D428" s="2">
        <v>2.06</v>
      </c>
      <c r="E428" s="665" t="s">
        <v>420</v>
      </c>
    </row>
    <row r="429" spans="1:5" s="647" customFormat="1" x14ac:dyDescent="0.25">
      <c r="A429" s="663" t="s">
        <v>1238</v>
      </c>
      <c r="B429" s="308" t="s">
        <v>422</v>
      </c>
      <c r="C429" s="2">
        <v>19202000289</v>
      </c>
      <c r="D429" s="2">
        <v>2</v>
      </c>
      <c r="E429" s="665" t="s">
        <v>420</v>
      </c>
    </row>
    <row r="430" spans="1:5" s="647" customFormat="1" x14ac:dyDescent="0.25">
      <c r="A430" s="663" t="s">
        <v>1238</v>
      </c>
      <c r="B430" s="308" t="s">
        <v>422</v>
      </c>
      <c r="C430" s="2">
        <v>19202000320</v>
      </c>
      <c r="D430" s="2">
        <v>1.99</v>
      </c>
      <c r="E430" s="665" t="s">
        <v>420</v>
      </c>
    </row>
    <row r="431" spans="1:5" s="647" customFormat="1" x14ac:dyDescent="0.25">
      <c r="A431" s="663" t="s">
        <v>1238</v>
      </c>
      <c r="B431" s="308" t="s">
        <v>422</v>
      </c>
      <c r="C431" s="2">
        <v>19202000316</v>
      </c>
      <c r="D431" s="2">
        <v>1.97</v>
      </c>
      <c r="E431" s="665" t="s">
        <v>420</v>
      </c>
    </row>
    <row r="432" spans="1:5" s="647" customFormat="1" x14ac:dyDescent="0.25">
      <c r="A432" s="663" t="s">
        <v>1238</v>
      </c>
      <c r="B432" s="308" t="s">
        <v>422</v>
      </c>
      <c r="C432" s="2">
        <v>19202000300</v>
      </c>
      <c r="D432" s="2">
        <v>1.96</v>
      </c>
      <c r="E432" s="665" t="s">
        <v>420</v>
      </c>
    </row>
    <row r="433" spans="1:5" s="647" customFormat="1" x14ac:dyDescent="0.25">
      <c r="A433" s="663" t="s">
        <v>1238</v>
      </c>
      <c r="B433" s="308" t="s">
        <v>422</v>
      </c>
      <c r="C433" s="2">
        <v>19202000343</v>
      </c>
      <c r="D433" s="2">
        <v>1.89</v>
      </c>
      <c r="E433" s="665" t="s">
        <v>420</v>
      </c>
    </row>
    <row r="434" spans="1:5" s="647" customFormat="1" x14ac:dyDescent="0.25">
      <c r="A434" s="663" t="s">
        <v>1238</v>
      </c>
      <c r="B434" s="308" t="s">
        <v>422</v>
      </c>
      <c r="C434" s="2">
        <v>19202000331</v>
      </c>
      <c r="D434" s="2">
        <v>1.86</v>
      </c>
      <c r="E434" s="665" t="s">
        <v>420</v>
      </c>
    </row>
    <row r="435" spans="1:5" s="647" customFormat="1" x14ac:dyDescent="0.25">
      <c r="A435" s="663" t="s">
        <v>1238</v>
      </c>
      <c r="B435" s="308" t="s">
        <v>422</v>
      </c>
      <c r="C435" s="2">
        <v>19202000255</v>
      </c>
      <c r="D435" s="2">
        <v>1.55</v>
      </c>
      <c r="E435" s="665" t="s">
        <v>420</v>
      </c>
    </row>
    <row r="436" spans="1:5" s="647" customFormat="1" x14ac:dyDescent="0.25">
      <c r="A436" s="663" t="s">
        <v>1238</v>
      </c>
      <c r="B436" s="308" t="s">
        <v>422</v>
      </c>
      <c r="C436" s="2">
        <v>19202000291</v>
      </c>
      <c r="D436" s="2">
        <v>1.33</v>
      </c>
      <c r="E436" s="665" t="s">
        <v>420</v>
      </c>
    </row>
    <row r="437" spans="1:5" x14ac:dyDescent="0.25">
      <c r="A437" s="663" t="s">
        <v>1238</v>
      </c>
      <c r="B437" s="308" t="s">
        <v>423</v>
      </c>
      <c r="C437" s="2">
        <v>19202000347</v>
      </c>
      <c r="D437" s="2">
        <v>3.37</v>
      </c>
      <c r="E437" s="674" t="s">
        <v>419</v>
      </c>
    </row>
    <row r="438" spans="1:5" x14ac:dyDescent="0.25">
      <c r="A438" s="663" t="s">
        <v>1238</v>
      </c>
      <c r="B438" s="308" t="s">
        <v>423</v>
      </c>
      <c r="C438" s="2">
        <v>19202000293</v>
      </c>
      <c r="D438" s="2">
        <v>3.18</v>
      </c>
      <c r="E438" s="674" t="s">
        <v>419</v>
      </c>
    </row>
    <row r="439" spans="1:5" x14ac:dyDescent="0.25">
      <c r="A439" s="663" t="s">
        <v>1238</v>
      </c>
      <c r="B439" s="308" t="s">
        <v>423</v>
      </c>
      <c r="C439" s="2">
        <v>19202000258</v>
      </c>
      <c r="D439" s="2">
        <v>2.98</v>
      </c>
      <c r="E439" s="674" t="s">
        <v>419</v>
      </c>
    </row>
    <row r="440" spans="1:5" x14ac:dyDescent="0.25">
      <c r="A440" s="663" t="s">
        <v>1238</v>
      </c>
      <c r="B440" s="308" t="s">
        <v>423</v>
      </c>
      <c r="C440" s="2">
        <v>19202000319</v>
      </c>
      <c r="D440" s="2">
        <v>2.95</v>
      </c>
      <c r="E440" s="674" t="s">
        <v>419</v>
      </c>
    </row>
    <row r="441" spans="1:5" x14ac:dyDescent="0.25">
      <c r="A441" s="663" t="s">
        <v>1238</v>
      </c>
      <c r="B441" s="308" t="s">
        <v>423</v>
      </c>
      <c r="C441" s="2">
        <v>19202000303</v>
      </c>
      <c r="D441" s="2">
        <v>2.89</v>
      </c>
      <c r="E441" s="665" t="s">
        <v>420</v>
      </c>
    </row>
    <row r="442" spans="1:5" x14ac:dyDescent="0.25">
      <c r="A442" s="663" t="s">
        <v>1238</v>
      </c>
      <c r="B442" s="308" t="s">
        <v>423</v>
      </c>
      <c r="C442" s="2">
        <v>19202000311</v>
      </c>
      <c r="D442" s="2">
        <v>2.85</v>
      </c>
      <c r="E442" s="665" t="s">
        <v>420</v>
      </c>
    </row>
    <row r="443" spans="1:5" x14ac:dyDescent="0.25">
      <c r="A443" s="663" t="s">
        <v>1238</v>
      </c>
      <c r="B443" s="308" t="s">
        <v>423</v>
      </c>
      <c r="C443" s="2">
        <v>19202000329</v>
      </c>
      <c r="D443" s="2">
        <v>2.77</v>
      </c>
      <c r="E443" s="665" t="s">
        <v>420</v>
      </c>
    </row>
    <row r="444" spans="1:5" x14ac:dyDescent="0.25">
      <c r="A444" s="663" t="s">
        <v>1238</v>
      </c>
      <c r="B444" s="308" t="s">
        <v>423</v>
      </c>
      <c r="C444" s="2">
        <v>19202000327</v>
      </c>
      <c r="D444" s="2">
        <v>2.57</v>
      </c>
      <c r="E444" s="665" t="s">
        <v>420</v>
      </c>
    </row>
    <row r="445" spans="1:5" x14ac:dyDescent="0.25">
      <c r="A445" s="663" t="s">
        <v>1238</v>
      </c>
      <c r="B445" s="308" t="s">
        <v>423</v>
      </c>
      <c r="C445" s="2">
        <v>19202000333</v>
      </c>
      <c r="D445" s="2">
        <v>2.4</v>
      </c>
      <c r="E445" s="665" t="s">
        <v>420</v>
      </c>
    </row>
    <row r="446" spans="1:5" x14ac:dyDescent="0.25">
      <c r="A446" s="663" t="s">
        <v>1238</v>
      </c>
      <c r="B446" s="308" t="s">
        <v>423</v>
      </c>
      <c r="C446" s="2">
        <v>19202000294</v>
      </c>
      <c r="D446" s="2">
        <v>2.23</v>
      </c>
      <c r="E446" s="665" t="s">
        <v>420</v>
      </c>
    </row>
    <row r="447" spans="1:5" x14ac:dyDescent="0.25">
      <c r="A447" s="663" t="s">
        <v>1238</v>
      </c>
      <c r="B447" s="308" t="s">
        <v>423</v>
      </c>
      <c r="C447" s="2">
        <v>19202000285</v>
      </c>
      <c r="D447" s="2">
        <v>2.12</v>
      </c>
      <c r="E447" s="665" t="s">
        <v>420</v>
      </c>
    </row>
    <row r="448" spans="1:5" x14ac:dyDescent="0.25">
      <c r="A448" s="663" t="s">
        <v>1238</v>
      </c>
      <c r="B448" s="308" t="s">
        <v>423</v>
      </c>
      <c r="C448" s="2">
        <v>19202000309</v>
      </c>
      <c r="D448" s="2">
        <v>2.12</v>
      </c>
      <c r="E448" s="665" t="s">
        <v>420</v>
      </c>
    </row>
    <row r="449" spans="1:5" x14ac:dyDescent="0.25">
      <c r="A449" s="663" t="s">
        <v>1238</v>
      </c>
      <c r="B449" s="308" t="s">
        <v>423</v>
      </c>
      <c r="C449" s="2">
        <v>19202000340</v>
      </c>
      <c r="D449" s="2">
        <v>2.09</v>
      </c>
      <c r="E449" s="665" t="s">
        <v>420</v>
      </c>
    </row>
    <row r="450" spans="1:5" x14ac:dyDescent="0.25">
      <c r="A450" s="663" t="s">
        <v>1238</v>
      </c>
      <c r="B450" s="308" t="s">
        <v>423</v>
      </c>
      <c r="C450" s="2">
        <v>19202000330</v>
      </c>
      <c r="D450" s="2">
        <v>2</v>
      </c>
      <c r="E450" s="665" t="s">
        <v>420</v>
      </c>
    </row>
    <row r="451" spans="1:5" x14ac:dyDescent="0.25">
      <c r="A451" s="663" t="s">
        <v>1238</v>
      </c>
      <c r="B451" s="308" t="s">
        <v>424</v>
      </c>
      <c r="C451" s="2">
        <v>19202000290</v>
      </c>
      <c r="D451" s="2">
        <v>3.16</v>
      </c>
      <c r="E451" s="674" t="s">
        <v>419</v>
      </c>
    </row>
    <row r="452" spans="1:5" x14ac:dyDescent="0.25">
      <c r="A452" s="663" t="s">
        <v>1238</v>
      </c>
      <c r="B452" s="308" t="s">
        <v>424</v>
      </c>
      <c r="C452" s="2">
        <v>19202000310</v>
      </c>
      <c r="D452" s="2">
        <v>3.15</v>
      </c>
      <c r="E452" s="674" t="s">
        <v>419</v>
      </c>
    </row>
    <row r="453" spans="1:5" x14ac:dyDescent="0.25">
      <c r="A453" s="663" t="s">
        <v>1238</v>
      </c>
      <c r="B453" s="308" t="s">
        <v>424</v>
      </c>
      <c r="C453" s="2">
        <v>19202000302</v>
      </c>
      <c r="D453" s="2">
        <v>3.07</v>
      </c>
      <c r="E453" s="674" t="s">
        <v>419</v>
      </c>
    </row>
    <row r="454" spans="1:5" x14ac:dyDescent="0.25">
      <c r="A454" s="663" t="s">
        <v>1238</v>
      </c>
      <c r="B454" s="308" t="s">
        <v>424</v>
      </c>
      <c r="C454" s="2">
        <v>19202000312</v>
      </c>
      <c r="D454" s="2">
        <v>3.01</v>
      </c>
      <c r="E454" s="674" t="s">
        <v>419</v>
      </c>
    </row>
    <row r="455" spans="1:5" x14ac:dyDescent="0.25">
      <c r="A455" s="663" t="s">
        <v>1238</v>
      </c>
      <c r="B455" s="308" t="s">
        <v>424</v>
      </c>
      <c r="C455" s="2">
        <v>19202000345</v>
      </c>
      <c r="D455" s="2">
        <v>2.95</v>
      </c>
      <c r="E455" s="674" t="s">
        <v>419</v>
      </c>
    </row>
    <row r="456" spans="1:5" x14ac:dyDescent="0.25">
      <c r="A456" s="663" t="s">
        <v>1238</v>
      </c>
      <c r="B456" s="308" t="s">
        <v>424</v>
      </c>
      <c r="C456" s="2">
        <v>19202000332</v>
      </c>
      <c r="D456" s="2">
        <v>2.82</v>
      </c>
      <c r="E456" s="674" t="s">
        <v>419</v>
      </c>
    </row>
    <row r="457" spans="1:5" x14ac:dyDescent="0.25">
      <c r="A457" s="663" t="s">
        <v>1238</v>
      </c>
      <c r="B457" s="308" t="s">
        <v>424</v>
      </c>
      <c r="C457" s="2">
        <v>19202000288</v>
      </c>
      <c r="D457" s="2">
        <v>2.76</v>
      </c>
      <c r="E457" s="674" t="s">
        <v>419</v>
      </c>
    </row>
    <row r="458" spans="1:5" x14ac:dyDescent="0.25">
      <c r="A458" s="663" t="s">
        <v>1238</v>
      </c>
      <c r="B458" s="308" t="s">
        <v>424</v>
      </c>
      <c r="C458" s="2">
        <v>19202000344</v>
      </c>
      <c r="D458" s="2">
        <v>2.5099999999999998</v>
      </c>
      <c r="E458" s="665" t="s">
        <v>420</v>
      </c>
    </row>
    <row r="459" spans="1:5" x14ac:dyDescent="0.25">
      <c r="A459" s="663" t="s">
        <v>1238</v>
      </c>
      <c r="B459" s="308" t="s">
        <v>424</v>
      </c>
      <c r="C459" s="2">
        <v>19202000323</v>
      </c>
      <c r="D459" s="2">
        <v>2.34</v>
      </c>
      <c r="E459" s="665" t="s">
        <v>420</v>
      </c>
    </row>
    <row r="460" spans="1:5" x14ac:dyDescent="0.25">
      <c r="A460" s="815" t="s">
        <v>1308</v>
      </c>
      <c r="B460" s="308" t="s">
        <v>422</v>
      </c>
      <c r="C460" s="2">
        <v>19202100213</v>
      </c>
      <c r="D460" s="2">
        <v>3.65</v>
      </c>
      <c r="E460" s="674" t="s">
        <v>419</v>
      </c>
    </row>
    <row r="461" spans="1:5" x14ac:dyDescent="0.25">
      <c r="A461" s="815" t="s">
        <v>1308</v>
      </c>
      <c r="B461" s="308" t="s">
        <v>422</v>
      </c>
      <c r="C461" s="2">
        <v>19202100171</v>
      </c>
      <c r="D461" s="2">
        <v>3.16</v>
      </c>
      <c r="E461" s="674" t="s">
        <v>419</v>
      </c>
    </row>
    <row r="462" spans="1:5" x14ac:dyDescent="0.25">
      <c r="A462" s="815" t="s">
        <v>1308</v>
      </c>
      <c r="B462" s="308" t="s">
        <v>422</v>
      </c>
      <c r="C462" s="2">
        <v>19202100206</v>
      </c>
      <c r="D462" s="2">
        <v>3.15</v>
      </c>
      <c r="E462" s="674" t="s">
        <v>419</v>
      </c>
    </row>
    <row r="463" spans="1:5" x14ac:dyDescent="0.25">
      <c r="A463" s="663" t="s">
        <v>1308</v>
      </c>
      <c r="B463" s="308" t="s">
        <v>422</v>
      </c>
      <c r="C463" s="2">
        <v>19202100178</v>
      </c>
      <c r="D463" s="2">
        <v>3.04</v>
      </c>
      <c r="E463" s="674" t="s">
        <v>419</v>
      </c>
    </row>
    <row r="464" spans="1:5" x14ac:dyDescent="0.25">
      <c r="A464" s="663" t="s">
        <v>1308</v>
      </c>
      <c r="B464" s="308" t="s">
        <v>422</v>
      </c>
      <c r="C464" s="2">
        <v>19202100113</v>
      </c>
      <c r="D464" s="2">
        <v>3.01</v>
      </c>
      <c r="E464" s="674" t="s">
        <v>419</v>
      </c>
    </row>
    <row r="465" spans="1:5" x14ac:dyDescent="0.25">
      <c r="A465" s="663" t="s">
        <v>1308</v>
      </c>
      <c r="B465" s="308" t="s">
        <v>422</v>
      </c>
      <c r="C465" s="2">
        <v>19202100198</v>
      </c>
      <c r="D465" s="2">
        <v>2.98</v>
      </c>
      <c r="E465" s="674" t="s">
        <v>419</v>
      </c>
    </row>
    <row r="466" spans="1:5" x14ac:dyDescent="0.25">
      <c r="A466" s="663" t="s">
        <v>1308</v>
      </c>
      <c r="B466" s="308" t="s">
        <v>422</v>
      </c>
      <c r="C466" s="2">
        <v>19202100193</v>
      </c>
      <c r="D466" s="2">
        <v>2.96</v>
      </c>
      <c r="E466" s="674" t="s">
        <v>419</v>
      </c>
    </row>
    <row r="467" spans="1:5" x14ac:dyDescent="0.25">
      <c r="A467" s="663" t="s">
        <v>1308</v>
      </c>
      <c r="B467" s="308" t="s">
        <v>422</v>
      </c>
      <c r="C467" s="2">
        <v>19202100169</v>
      </c>
      <c r="D467" s="2">
        <v>2.95</v>
      </c>
      <c r="E467" s="674" t="s">
        <v>419</v>
      </c>
    </row>
    <row r="468" spans="1:5" x14ac:dyDescent="0.25">
      <c r="A468" s="663" t="s">
        <v>1308</v>
      </c>
      <c r="B468" s="308" t="s">
        <v>422</v>
      </c>
      <c r="C468" s="2">
        <v>19202100209</v>
      </c>
      <c r="D468" s="2">
        <v>2.83</v>
      </c>
      <c r="E468" s="674" t="s">
        <v>419</v>
      </c>
    </row>
    <row r="469" spans="1:5" x14ac:dyDescent="0.25">
      <c r="A469" s="663" t="s">
        <v>1308</v>
      </c>
      <c r="B469" s="308" t="s">
        <v>422</v>
      </c>
      <c r="C469" s="2">
        <v>19202100214</v>
      </c>
      <c r="D469" s="2">
        <v>2.83</v>
      </c>
      <c r="E469" s="674" t="s">
        <v>419</v>
      </c>
    </row>
    <row r="470" spans="1:5" x14ac:dyDescent="0.25">
      <c r="A470" s="663" t="s">
        <v>1308</v>
      </c>
      <c r="B470" s="308" t="s">
        <v>422</v>
      </c>
      <c r="C470" s="2">
        <v>19202100163</v>
      </c>
      <c r="D470" s="2">
        <v>2.79</v>
      </c>
      <c r="E470" s="674" t="s">
        <v>419</v>
      </c>
    </row>
    <row r="471" spans="1:5" x14ac:dyDescent="0.25">
      <c r="A471" s="663" t="s">
        <v>1308</v>
      </c>
      <c r="B471" s="308" t="s">
        <v>422</v>
      </c>
      <c r="C471" s="2">
        <v>19202100196</v>
      </c>
      <c r="D471" s="2">
        <v>2.73</v>
      </c>
      <c r="E471" s="674" t="s">
        <v>419</v>
      </c>
    </row>
    <row r="472" spans="1:5" x14ac:dyDescent="0.25">
      <c r="A472" s="663" t="s">
        <v>1308</v>
      </c>
      <c r="B472" s="308" t="s">
        <v>422</v>
      </c>
      <c r="C472" s="2">
        <v>19202100195</v>
      </c>
      <c r="D472" s="2">
        <v>2.68</v>
      </c>
      <c r="E472" s="674" t="s">
        <v>419</v>
      </c>
    </row>
    <row r="473" spans="1:5" x14ac:dyDescent="0.25">
      <c r="A473" s="663" t="s">
        <v>1308</v>
      </c>
      <c r="B473" s="308" t="s">
        <v>422</v>
      </c>
      <c r="C473" s="2">
        <v>19202100208</v>
      </c>
      <c r="D473" s="2">
        <v>2.64</v>
      </c>
      <c r="E473" s="674" t="s">
        <v>419</v>
      </c>
    </row>
    <row r="474" spans="1:5" x14ac:dyDescent="0.25">
      <c r="A474" s="663" t="s">
        <v>1308</v>
      </c>
      <c r="B474" s="308" t="s">
        <v>422</v>
      </c>
      <c r="C474" s="2">
        <v>19202100189</v>
      </c>
      <c r="D474" s="2">
        <v>2.63</v>
      </c>
      <c r="E474" s="674" t="s">
        <v>419</v>
      </c>
    </row>
    <row r="475" spans="1:5" x14ac:dyDescent="0.25">
      <c r="A475" s="663" t="s">
        <v>1308</v>
      </c>
      <c r="B475" s="308" t="s">
        <v>422</v>
      </c>
      <c r="C475" s="2">
        <v>19202100187</v>
      </c>
      <c r="D475" s="2">
        <v>2.52</v>
      </c>
      <c r="E475" s="674" t="s">
        <v>419</v>
      </c>
    </row>
    <row r="476" spans="1:5" x14ac:dyDescent="0.25">
      <c r="A476" s="663" t="s">
        <v>1308</v>
      </c>
      <c r="B476" s="308" t="s">
        <v>422</v>
      </c>
      <c r="C476" s="2">
        <v>19202100188</v>
      </c>
      <c r="D476" s="2">
        <v>2.52</v>
      </c>
      <c r="E476" s="674" t="s">
        <v>419</v>
      </c>
    </row>
    <row r="477" spans="1:5" x14ac:dyDescent="0.25">
      <c r="A477" s="663" t="s">
        <v>1308</v>
      </c>
      <c r="B477" s="308" t="s">
        <v>422</v>
      </c>
      <c r="C477" s="2">
        <v>19202100217</v>
      </c>
      <c r="D477" s="2">
        <v>2.52</v>
      </c>
      <c r="E477" s="674" t="s">
        <v>419</v>
      </c>
    </row>
    <row r="478" spans="1:5" x14ac:dyDescent="0.25">
      <c r="A478" s="663" t="s">
        <v>1308</v>
      </c>
      <c r="B478" s="308" t="s">
        <v>422</v>
      </c>
      <c r="C478" s="2">
        <v>19202100170</v>
      </c>
      <c r="D478" s="2">
        <v>2.5099999999999998</v>
      </c>
      <c r="E478" s="674" t="s">
        <v>419</v>
      </c>
    </row>
    <row r="479" spans="1:5" x14ac:dyDescent="0.25">
      <c r="A479" s="663" t="s">
        <v>1308</v>
      </c>
      <c r="B479" s="308" t="s">
        <v>422</v>
      </c>
      <c r="C479" s="2">
        <v>19202100180</v>
      </c>
      <c r="D479" s="2">
        <v>2.48</v>
      </c>
      <c r="E479" s="665" t="s">
        <v>420</v>
      </c>
    </row>
    <row r="480" spans="1:5" x14ac:dyDescent="0.25">
      <c r="A480" s="663" t="s">
        <v>1308</v>
      </c>
      <c r="B480" s="308" t="s">
        <v>422</v>
      </c>
      <c r="C480" s="2">
        <v>19202100218</v>
      </c>
      <c r="D480" s="2">
        <v>2.48</v>
      </c>
      <c r="E480" s="665" t="s">
        <v>420</v>
      </c>
    </row>
    <row r="481" spans="1:5" x14ac:dyDescent="0.25">
      <c r="A481" s="663" t="s">
        <v>1308</v>
      </c>
      <c r="B481" s="308" t="s">
        <v>422</v>
      </c>
      <c r="C481" s="2">
        <v>19202100186</v>
      </c>
      <c r="D481" s="2">
        <v>2.44</v>
      </c>
      <c r="E481" s="665" t="s">
        <v>420</v>
      </c>
    </row>
    <row r="482" spans="1:5" x14ac:dyDescent="0.25">
      <c r="A482" s="663" t="s">
        <v>1308</v>
      </c>
      <c r="B482" s="308" t="s">
        <v>422</v>
      </c>
      <c r="C482" s="2">
        <v>19202100203</v>
      </c>
      <c r="D482" s="2">
        <v>2.38</v>
      </c>
      <c r="E482" s="665" t="s">
        <v>420</v>
      </c>
    </row>
    <row r="483" spans="1:5" x14ac:dyDescent="0.25">
      <c r="A483" s="663" t="s">
        <v>1308</v>
      </c>
      <c r="B483" s="308" t="s">
        <v>422</v>
      </c>
      <c r="C483" s="2">
        <v>19202100091</v>
      </c>
      <c r="D483" s="2">
        <v>2.37</v>
      </c>
      <c r="E483" s="665" t="s">
        <v>420</v>
      </c>
    </row>
    <row r="484" spans="1:5" x14ac:dyDescent="0.25">
      <c r="A484" s="663" t="s">
        <v>1308</v>
      </c>
      <c r="B484" s="308" t="s">
        <v>422</v>
      </c>
      <c r="C484" s="2">
        <v>19202100211</v>
      </c>
      <c r="D484" s="2">
        <v>2.3199999999999998</v>
      </c>
      <c r="E484" s="665" t="s">
        <v>420</v>
      </c>
    </row>
    <row r="485" spans="1:5" x14ac:dyDescent="0.25">
      <c r="A485" s="663" t="s">
        <v>1308</v>
      </c>
      <c r="B485" s="308" t="s">
        <v>422</v>
      </c>
      <c r="C485" s="2">
        <v>19202100162</v>
      </c>
      <c r="D485" s="2">
        <v>2.2999999999999998</v>
      </c>
      <c r="E485" s="665" t="s">
        <v>420</v>
      </c>
    </row>
    <row r="486" spans="1:5" x14ac:dyDescent="0.25">
      <c r="A486" s="663" t="s">
        <v>1308</v>
      </c>
      <c r="B486" s="308" t="s">
        <v>422</v>
      </c>
      <c r="C486" s="2">
        <v>19202100164</v>
      </c>
      <c r="D486" s="2">
        <v>2.2000000000000002</v>
      </c>
      <c r="E486" s="665" t="s">
        <v>420</v>
      </c>
    </row>
    <row r="487" spans="1:5" x14ac:dyDescent="0.25">
      <c r="A487" s="663" t="s">
        <v>1308</v>
      </c>
      <c r="B487" s="308" t="s">
        <v>422</v>
      </c>
      <c r="C487" s="2">
        <v>19202100176</v>
      </c>
      <c r="D487" s="2">
        <v>2.14</v>
      </c>
      <c r="E487" s="665" t="s">
        <v>420</v>
      </c>
    </row>
    <row r="488" spans="1:5" x14ac:dyDescent="0.25">
      <c r="A488" s="663" t="s">
        <v>1308</v>
      </c>
      <c r="B488" s="308" t="s">
        <v>422</v>
      </c>
      <c r="C488" s="2">
        <v>19202100173</v>
      </c>
      <c r="D488" s="2">
        <v>2.02</v>
      </c>
      <c r="E488" s="665" t="s">
        <v>420</v>
      </c>
    </row>
    <row r="489" spans="1:5" x14ac:dyDescent="0.25">
      <c r="A489" s="663" t="s">
        <v>1308</v>
      </c>
      <c r="B489" s="308" t="s">
        <v>422</v>
      </c>
      <c r="C489" s="2">
        <v>19202100201</v>
      </c>
      <c r="D489" s="2">
        <v>2.0099999999999998</v>
      </c>
      <c r="E489" s="665" t="s">
        <v>420</v>
      </c>
    </row>
    <row r="490" spans="1:5" x14ac:dyDescent="0.25">
      <c r="A490" s="663" t="s">
        <v>1308</v>
      </c>
      <c r="B490" s="308" t="s">
        <v>422</v>
      </c>
      <c r="C490" s="2">
        <v>19202100205</v>
      </c>
      <c r="D490" s="2">
        <v>1.88</v>
      </c>
      <c r="E490" s="665" t="s">
        <v>420</v>
      </c>
    </row>
    <row r="491" spans="1:5" x14ac:dyDescent="0.25">
      <c r="A491" s="663" t="s">
        <v>1308</v>
      </c>
      <c r="B491" s="308" t="s">
        <v>422</v>
      </c>
      <c r="C491" s="2">
        <v>19202100165</v>
      </c>
      <c r="D491" s="2">
        <v>1.62</v>
      </c>
      <c r="E491" s="665" t="s">
        <v>420</v>
      </c>
    </row>
    <row r="492" spans="1:5" x14ac:dyDescent="0.25">
      <c r="A492" s="663" t="s">
        <v>1308</v>
      </c>
      <c r="B492" s="308" t="s">
        <v>422</v>
      </c>
      <c r="C492" s="2">
        <v>19202100199</v>
      </c>
      <c r="D492" s="2">
        <v>1.23</v>
      </c>
      <c r="E492" s="665" t="s">
        <v>420</v>
      </c>
    </row>
    <row r="493" spans="1:5" x14ac:dyDescent="0.25">
      <c r="A493" s="663" t="s">
        <v>1308</v>
      </c>
      <c r="B493" s="308" t="s">
        <v>423</v>
      </c>
      <c r="C493" s="2">
        <v>19202100192</v>
      </c>
      <c r="D493" s="2">
        <v>3.15</v>
      </c>
      <c r="E493" s="674" t="s">
        <v>419</v>
      </c>
    </row>
    <row r="494" spans="1:5" x14ac:dyDescent="0.25">
      <c r="A494" s="663" t="s">
        <v>1308</v>
      </c>
      <c r="B494" s="308" t="s">
        <v>423</v>
      </c>
      <c r="C494" s="2">
        <v>19202100212</v>
      </c>
      <c r="D494" s="2">
        <v>3.02</v>
      </c>
      <c r="E494" s="674" t="s">
        <v>419</v>
      </c>
    </row>
    <row r="495" spans="1:5" x14ac:dyDescent="0.25">
      <c r="A495" s="663" t="s">
        <v>1308</v>
      </c>
      <c r="B495" s="308" t="s">
        <v>423</v>
      </c>
      <c r="C495" s="2">
        <v>19202100210</v>
      </c>
      <c r="D495" s="2">
        <v>2.96</v>
      </c>
      <c r="E495" s="674" t="s">
        <v>419</v>
      </c>
    </row>
    <row r="496" spans="1:5" x14ac:dyDescent="0.25">
      <c r="A496" s="663" t="s">
        <v>1308</v>
      </c>
      <c r="B496" s="308" t="s">
        <v>423</v>
      </c>
      <c r="C496" s="2">
        <v>19202100184</v>
      </c>
      <c r="D496" s="2">
        <v>2.94</v>
      </c>
      <c r="E496" s="674" t="s">
        <v>419</v>
      </c>
    </row>
    <row r="497" spans="1:5" x14ac:dyDescent="0.25">
      <c r="A497" s="663" t="s">
        <v>1308</v>
      </c>
      <c r="B497" s="308" t="s">
        <v>423</v>
      </c>
      <c r="C497" s="2">
        <v>19202100175</v>
      </c>
      <c r="D497" s="2">
        <v>2.71</v>
      </c>
      <c r="E497" s="674" t="s">
        <v>419</v>
      </c>
    </row>
    <row r="498" spans="1:5" x14ac:dyDescent="0.25">
      <c r="A498" s="663" t="s">
        <v>1308</v>
      </c>
      <c r="B498" s="308" t="s">
        <v>423</v>
      </c>
      <c r="C498" s="2">
        <v>19202100194</v>
      </c>
      <c r="D498" s="2">
        <v>2.68</v>
      </c>
      <c r="E498" s="674" t="s">
        <v>419</v>
      </c>
    </row>
    <row r="499" spans="1:5" x14ac:dyDescent="0.25">
      <c r="A499" s="663" t="s">
        <v>1308</v>
      </c>
      <c r="B499" s="308" t="s">
        <v>423</v>
      </c>
      <c r="C499" s="2">
        <v>19202100275</v>
      </c>
      <c r="D499" s="2">
        <v>2.2999999999999998</v>
      </c>
      <c r="E499" s="665" t="s">
        <v>420</v>
      </c>
    </row>
    <row r="500" spans="1:5" x14ac:dyDescent="0.25">
      <c r="A500" s="663" t="s">
        <v>1308</v>
      </c>
      <c r="B500" s="308" t="s">
        <v>424</v>
      </c>
      <c r="C500" s="2">
        <v>19202100204</v>
      </c>
      <c r="D500" s="2">
        <v>3.09</v>
      </c>
      <c r="E500" s="674" t="s">
        <v>419</v>
      </c>
    </row>
    <row r="501" spans="1:5" x14ac:dyDescent="0.25">
      <c r="A501" s="663" t="s">
        <v>1308</v>
      </c>
      <c r="B501" s="308" t="s">
        <v>424</v>
      </c>
      <c r="C501" s="2">
        <v>19202100197</v>
      </c>
      <c r="D501" s="2">
        <v>3.08</v>
      </c>
      <c r="E501" s="674" t="s">
        <v>419</v>
      </c>
    </row>
    <row r="502" spans="1:5" x14ac:dyDescent="0.25">
      <c r="A502" s="663" t="s">
        <v>1308</v>
      </c>
      <c r="B502" s="308" t="s">
        <v>424</v>
      </c>
      <c r="C502" s="2">
        <v>19202100216</v>
      </c>
      <c r="D502" s="2">
        <v>3.01</v>
      </c>
      <c r="E502" s="674" t="s">
        <v>419</v>
      </c>
    </row>
    <row r="503" spans="1:5" x14ac:dyDescent="0.25">
      <c r="A503" s="663" t="s">
        <v>1308</v>
      </c>
      <c r="B503" s="308" t="s">
        <v>424</v>
      </c>
      <c r="C503" s="2">
        <v>19202100183</v>
      </c>
      <c r="D503" s="2">
        <v>2.98</v>
      </c>
      <c r="E503" s="674" t="s">
        <v>419</v>
      </c>
    </row>
    <row r="504" spans="1:5" x14ac:dyDescent="0.25">
      <c r="A504" s="663" t="s">
        <v>1308</v>
      </c>
      <c r="B504" s="308" t="s">
        <v>424</v>
      </c>
      <c r="C504" s="2">
        <v>19202100202</v>
      </c>
      <c r="D504" s="2">
        <v>2.93</v>
      </c>
      <c r="E504" s="674" t="s">
        <v>419</v>
      </c>
    </row>
    <row r="505" spans="1:5" x14ac:dyDescent="0.25">
      <c r="A505" s="663" t="s">
        <v>1308</v>
      </c>
      <c r="B505" s="308" t="s">
        <v>424</v>
      </c>
      <c r="C505" s="2">
        <v>19202100215</v>
      </c>
      <c r="D505" s="2">
        <v>2.77</v>
      </c>
      <c r="E505" s="674" t="s">
        <v>419</v>
      </c>
    </row>
    <row r="506" spans="1:5" x14ac:dyDescent="0.25">
      <c r="A506" s="663" t="s">
        <v>1308</v>
      </c>
      <c r="B506" s="308" t="s">
        <v>424</v>
      </c>
      <c r="C506" s="2">
        <v>19202100200</v>
      </c>
      <c r="D506" s="2">
        <v>2.68</v>
      </c>
      <c r="E506" s="674" t="s">
        <v>419</v>
      </c>
    </row>
    <row r="507" spans="1:5" x14ac:dyDescent="0.25">
      <c r="A507" s="663" t="s">
        <v>1308</v>
      </c>
      <c r="B507" s="308" t="s">
        <v>424</v>
      </c>
      <c r="C507" s="2">
        <v>19202100174</v>
      </c>
      <c r="D507" s="2">
        <v>2.46</v>
      </c>
      <c r="E507" s="665" t="s">
        <v>420</v>
      </c>
    </row>
    <row r="508" spans="1:5" x14ac:dyDescent="0.25">
      <c r="A508" s="2" t="s">
        <v>1352</v>
      </c>
      <c r="B508" s="2" t="s">
        <v>1353</v>
      </c>
      <c r="C508" s="2">
        <v>19202100663</v>
      </c>
      <c r="D508" s="2">
        <v>4.05</v>
      </c>
      <c r="E508" s="674" t="s">
        <v>419</v>
      </c>
    </row>
    <row r="509" spans="1:5" x14ac:dyDescent="0.25">
      <c r="A509" s="2" t="s">
        <v>1352</v>
      </c>
      <c r="B509" s="2" t="s">
        <v>1353</v>
      </c>
      <c r="C509" s="2">
        <v>19202100665</v>
      </c>
      <c r="D509" s="2">
        <v>3.86</v>
      </c>
      <c r="E509" s="674" t="s">
        <v>419</v>
      </c>
    </row>
    <row r="510" spans="1:5" x14ac:dyDescent="0.25">
      <c r="A510" s="2" t="s">
        <v>1352</v>
      </c>
      <c r="B510" s="2" t="s">
        <v>1353</v>
      </c>
      <c r="C510" s="2">
        <v>19202100669</v>
      </c>
      <c r="D510" s="2">
        <v>3.69</v>
      </c>
      <c r="E510" s="674" t="s">
        <v>419</v>
      </c>
    </row>
    <row r="511" spans="1:5" x14ac:dyDescent="0.25">
      <c r="A511" s="2" t="s">
        <v>1352</v>
      </c>
      <c r="B511" s="2" t="s">
        <v>1353</v>
      </c>
      <c r="C511" s="2">
        <v>19202100671</v>
      </c>
      <c r="D511" s="2">
        <v>3.56</v>
      </c>
      <c r="E511" s="674" t="s">
        <v>419</v>
      </c>
    </row>
    <row r="512" spans="1:5" x14ac:dyDescent="0.25">
      <c r="A512" s="2" t="s">
        <v>1352</v>
      </c>
      <c r="B512" s="2" t="s">
        <v>1353</v>
      </c>
      <c r="C512" s="2">
        <v>19202100667</v>
      </c>
      <c r="D512" s="2">
        <v>3.55</v>
      </c>
      <c r="E512" s="674" t="s">
        <v>419</v>
      </c>
    </row>
    <row r="513" spans="1:5" x14ac:dyDescent="0.25">
      <c r="A513" s="2" t="s">
        <v>1352</v>
      </c>
      <c r="B513" s="2" t="s">
        <v>1353</v>
      </c>
      <c r="C513" s="2">
        <v>19202100670</v>
      </c>
      <c r="D513" s="2">
        <v>3.39</v>
      </c>
      <c r="E513" s="674" t="s">
        <v>419</v>
      </c>
    </row>
    <row r="514" spans="1:5" x14ac:dyDescent="0.25">
      <c r="A514" s="2" t="s">
        <v>1352</v>
      </c>
      <c r="B514" s="2" t="s">
        <v>1353</v>
      </c>
      <c r="C514" s="2">
        <v>19202100668</v>
      </c>
      <c r="D514" s="2">
        <v>2.78</v>
      </c>
      <c r="E514" s="674" t="s">
        <v>419</v>
      </c>
    </row>
    <row r="515" spans="1:5" x14ac:dyDescent="0.25">
      <c r="A515" s="2" t="s">
        <v>1433</v>
      </c>
      <c r="B515" s="2" t="s">
        <v>1434</v>
      </c>
      <c r="C515" s="2">
        <v>19202101579</v>
      </c>
      <c r="D515" s="2">
        <v>3.67</v>
      </c>
      <c r="E515" s="674" t="s">
        <v>419</v>
      </c>
    </row>
    <row r="516" spans="1:5" x14ac:dyDescent="0.25">
      <c r="A516" s="2" t="s">
        <v>1433</v>
      </c>
      <c r="B516" s="2" t="s">
        <v>1434</v>
      </c>
      <c r="C516" s="2">
        <v>19202101580</v>
      </c>
      <c r="D516" s="2">
        <v>3.36</v>
      </c>
      <c r="E516" s="674" t="s">
        <v>419</v>
      </c>
    </row>
    <row r="517" spans="1:5" x14ac:dyDescent="0.25">
      <c r="A517" s="2" t="s">
        <v>1433</v>
      </c>
      <c r="B517" s="2" t="s">
        <v>1434</v>
      </c>
      <c r="C517" s="2">
        <v>19202101577</v>
      </c>
      <c r="D517" s="2">
        <v>3.15</v>
      </c>
      <c r="E517" s="674" t="s">
        <v>419</v>
      </c>
    </row>
    <row r="518" spans="1:5" x14ac:dyDescent="0.25">
      <c r="A518" s="2" t="s">
        <v>1433</v>
      </c>
      <c r="B518" s="2" t="s">
        <v>1434</v>
      </c>
      <c r="C518" s="2">
        <v>19202101555</v>
      </c>
      <c r="D518" s="2">
        <v>2.58</v>
      </c>
      <c r="E518" s="674" t="s">
        <v>419</v>
      </c>
    </row>
    <row r="519" spans="1:5" x14ac:dyDescent="0.25">
      <c r="A519" t="s">
        <v>1525</v>
      </c>
      <c r="B519" t="s">
        <v>1526</v>
      </c>
      <c r="C519" s="829">
        <v>19202200252</v>
      </c>
      <c r="D519" s="829">
        <v>3.9119999999999999</v>
      </c>
      <c r="E519" s="674" t="s">
        <v>419</v>
      </c>
    </row>
    <row r="520" spans="1:5" x14ac:dyDescent="0.25">
      <c r="A520" s="829" t="s">
        <v>1525</v>
      </c>
      <c r="B520" s="829" t="s">
        <v>1526</v>
      </c>
      <c r="C520" s="829">
        <v>19202200246</v>
      </c>
      <c r="D520" s="829">
        <v>3.879</v>
      </c>
      <c r="E520" s="674" t="s">
        <v>419</v>
      </c>
    </row>
    <row r="521" spans="1:5" x14ac:dyDescent="0.25">
      <c r="A521" s="829" t="s">
        <v>1525</v>
      </c>
      <c r="B521" s="829" t="s">
        <v>1526</v>
      </c>
      <c r="C521" s="829">
        <v>19202200225</v>
      </c>
      <c r="D521" s="829">
        <v>3.754</v>
      </c>
      <c r="E521" s="674" t="s">
        <v>419</v>
      </c>
    </row>
    <row r="522" spans="1:5" x14ac:dyDescent="0.25">
      <c r="A522" s="829" t="s">
        <v>1525</v>
      </c>
      <c r="B522" s="829" t="s">
        <v>1526</v>
      </c>
      <c r="C522" s="829">
        <v>19202200243</v>
      </c>
      <c r="D522" s="829">
        <v>3.5369999999999999</v>
      </c>
      <c r="E522" s="674" t="s">
        <v>419</v>
      </c>
    </row>
    <row r="523" spans="1:5" x14ac:dyDescent="0.25">
      <c r="A523" s="829" t="s">
        <v>1525</v>
      </c>
      <c r="B523" s="829" t="s">
        <v>1526</v>
      </c>
      <c r="C523" s="829">
        <v>19202200265</v>
      </c>
      <c r="D523" s="829">
        <v>3.411</v>
      </c>
      <c r="E523" s="674" t="s">
        <v>419</v>
      </c>
    </row>
    <row r="524" spans="1:5" x14ac:dyDescent="0.25">
      <c r="A524" s="829" t="s">
        <v>1525</v>
      </c>
      <c r="B524" s="829" t="s">
        <v>1526</v>
      </c>
      <c r="C524" s="829">
        <v>19202200239</v>
      </c>
      <c r="D524" s="829">
        <v>3.3460000000000001</v>
      </c>
      <c r="E524" s="674" t="s">
        <v>419</v>
      </c>
    </row>
    <row r="525" spans="1:5" x14ac:dyDescent="0.25">
      <c r="A525" s="829" t="s">
        <v>1525</v>
      </c>
      <c r="B525" s="829" t="s">
        <v>1526</v>
      </c>
      <c r="C525" s="829">
        <v>19202200254</v>
      </c>
      <c r="D525" s="829">
        <v>3.2029999999999998</v>
      </c>
      <c r="E525" s="674" t="s">
        <v>419</v>
      </c>
    </row>
    <row r="526" spans="1:5" x14ac:dyDescent="0.25">
      <c r="A526" s="829" t="s">
        <v>1525</v>
      </c>
      <c r="B526" s="829" t="s">
        <v>1526</v>
      </c>
      <c r="C526" s="829">
        <v>19202200269</v>
      </c>
      <c r="D526" s="829">
        <v>3.16</v>
      </c>
      <c r="E526" s="674" t="s">
        <v>419</v>
      </c>
    </row>
    <row r="527" spans="1:5" x14ac:dyDescent="0.25">
      <c r="A527" s="829" t="s">
        <v>1525</v>
      </c>
      <c r="B527" s="829" t="s">
        <v>1526</v>
      </c>
      <c r="C527" s="829">
        <v>19202200241</v>
      </c>
      <c r="D527" s="829">
        <v>3.113</v>
      </c>
      <c r="E527" s="674" t="s">
        <v>419</v>
      </c>
    </row>
    <row r="528" spans="1:5" x14ac:dyDescent="0.25">
      <c r="A528" s="829" t="s">
        <v>1525</v>
      </c>
      <c r="B528" s="829" t="s">
        <v>1526</v>
      </c>
      <c r="C528" s="829">
        <v>19202200220</v>
      </c>
      <c r="D528" s="829">
        <v>3.105</v>
      </c>
      <c r="E528" s="674" t="s">
        <v>419</v>
      </c>
    </row>
    <row r="529" spans="1:5" x14ac:dyDescent="0.25">
      <c r="A529" s="829" t="s">
        <v>1525</v>
      </c>
      <c r="B529" s="829" t="s">
        <v>1526</v>
      </c>
      <c r="C529" s="829">
        <v>19202200268</v>
      </c>
      <c r="D529" s="829">
        <v>3.105</v>
      </c>
      <c r="E529" s="674" t="s">
        <v>419</v>
      </c>
    </row>
    <row r="530" spans="1:5" x14ac:dyDescent="0.25">
      <c r="A530" s="829" t="s">
        <v>1525</v>
      </c>
      <c r="B530" s="829" t="s">
        <v>1526</v>
      </c>
      <c r="C530" s="829">
        <v>19202200217</v>
      </c>
      <c r="D530" s="829">
        <v>3.1040000000000001</v>
      </c>
      <c r="E530" s="674" t="s">
        <v>419</v>
      </c>
    </row>
    <row r="531" spans="1:5" x14ac:dyDescent="0.25">
      <c r="A531" s="829" t="s">
        <v>1525</v>
      </c>
      <c r="B531" s="829" t="s">
        <v>1526</v>
      </c>
      <c r="C531" s="829">
        <v>19202200237</v>
      </c>
      <c r="D531" s="829">
        <v>3.0939999999999999</v>
      </c>
      <c r="E531" s="674" t="s">
        <v>419</v>
      </c>
    </row>
    <row r="532" spans="1:5" x14ac:dyDescent="0.25">
      <c r="A532" s="829" t="s">
        <v>1525</v>
      </c>
      <c r="B532" s="829" t="s">
        <v>1526</v>
      </c>
      <c r="C532" s="829">
        <v>19202200263</v>
      </c>
      <c r="D532" s="829">
        <v>3.0779999999999998</v>
      </c>
      <c r="E532" s="674" t="s">
        <v>419</v>
      </c>
    </row>
    <row r="533" spans="1:5" x14ac:dyDescent="0.25">
      <c r="A533" s="829" t="s">
        <v>1525</v>
      </c>
      <c r="B533" s="829" t="s">
        <v>1526</v>
      </c>
      <c r="C533" s="829">
        <v>19202200262</v>
      </c>
      <c r="D533" s="829">
        <v>2.9289999999999998</v>
      </c>
      <c r="E533" s="674" t="s">
        <v>419</v>
      </c>
    </row>
    <row r="534" spans="1:5" x14ac:dyDescent="0.25">
      <c r="A534" s="829" t="s">
        <v>1525</v>
      </c>
      <c r="B534" s="829" t="s">
        <v>1526</v>
      </c>
      <c r="C534" s="829">
        <v>19202200250</v>
      </c>
      <c r="D534" s="829">
        <v>2.887</v>
      </c>
      <c r="E534" s="674" t="s">
        <v>419</v>
      </c>
    </row>
    <row r="535" spans="1:5" x14ac:dyDescent="0.25">
      <c r="A535" s="829" t="s">
        <v>1525</v>
      </c>
      <c r="B535" s="829" t="s">
        <v>1526</v>
      </c>
      <c r="C535" s="829">
        <v>19202200266</v>
      </c>
      <c r="D535" s="829">
        <v>2.8210000000000002</v>
      </c>
      <c r="E535" s="674" t="s">
        <v>419</v>
      </c>
    </row>
    <row r="536" spans="1:5" x14ac:dyDescent="0.25">
      <c r="A536" s="829" t="s">
        <v>1525</v>
      </c>
      <c r="B536" s="829" t="s">
        <v>1526</v>
      </c>
      <c r="C536" s="829">
        <v>19202200232</v>
      </c>
      <c r="D536" s="829">
        <v>2.7959999999999998</v>
      </c>
      <c r="E536" s="674" t="s">
        <v>419</v>
      </c>
    </row>
    <row r="537" spans="1:5" x14ac:dyDescent="0.25">
      <c r="A537" s="829" t="s">
        <v>1525</v>
      </c>
      <c r="B537" s="829" t="s">
        <v>1526</v>
      </c>
      <c r="C537" s="829">
        <v>19202200230</v>
      </c>
      <c r="D537" s="829">
        <v>2.7519999999999998</v>
      </c>
      <c r="E537" s="665" t="s">
        <v>420</v>
      </c>
    </row>
    <row r="538" spans="1:5" x14ac:dyDescent="0.25">
      <c r="A538" s="829" t="s">
        <v>1525</v>
      </c>
      <c r="B538" s="829" t="s">
        <v>1526</v>
      </c>
      <c r="C538" s="829">
        <v>19202200214</v>
      </c>
      <c r="D538" s="829">
        <v>2.629</v>
      </c>
      <c r="E538" s="665" t="s">
        <v>420</v>
      </c>
    </row>
    <row r="539" spans="1:5" x14ac:dyDescent="0.25">
      <c r="A539" s="829" t="s">
        <v>1525</v>
      </c>
      <c r="B539" s="829" t="s">
        <v>1526</v>
      </c>
      <c r="C539" s="829">
        <v>19202200261</v>
      </c>
      <c r="D539" s="829">
        <v>2.613</v>
      </c>
      <c r="E539" s="665" t="s">
        <v>420</v>
      </c>
    </row>
    <row r="540" spans="1:5" x14ac:dyDescent="0.25">
      <c r="A540" s="829" t="s">
        <v>1525</v>
      </c>
      <c r="B540" s="829" t="s">
        <v>1526</v>
      </c>
      <c r="C540" s="829">
        <v>19202200219</v>
      </c>
      <c r="D540" s="829">
        <v>2.4630000000000001</v>
      </c>
      <c r="E540" s="665" t="s">
        <v>420</v>
      </c>
    </row>
    <row r="541" spans="1:5" x14ac:dyDescent="0.25">
      <c r="A541" s="829" t="s">
        <v>1525</v>
      </c>
      <c r="B541" s="829" t="s">
        <v>1526</v>
      </c>
      <c r="C541" s="829">
        <v>19202200264</v>
      </c>
      <c r="D541" s="829">
        <v>2.3540000000000001</v>
      </c>
      <c r="E541" s="665" t="s">
        <v>420</v>
      </c>
    </row>
    <row r="542" spans="1:5" x14ac:dyDescent="0.25">
      <c r="A542" s="829" t="s">
        <v>1525</v>
      </c>
      <c r="B542" s="829" t="s">
        <v>1526</v>
      </c>
      <c r="C542" s="829">
        <v>19202200242</v>
      </c>
      <c r="D542" s="829">
        <v>2.2629999999999999</v>
      </c>
      <c r="E542" s="665" t="s">
        <v>420</v>
      </c>
    </row>
    <row r="543" spans="1:5" x14ac:dyDescent="0.25">
      <c r="A543" s="829" t="s">
        <v>1525</v>
      </c>
      <c r="B543" s="829" t="s">
        <v>1526</v>
      </c>
      <c r="C543" s="829">
        <v>19202200093</v>
      </c>
      <c r="D543" s="829">
        <v>1.4279999999999999</v>
      </c>
      <c r="E543" s="665" t="s">
        <v>420</v>
      </c>
    </row>
    <row r="544" spans="1:5" x14ac:dyDescent="0.25">
      <c r="A544" s="829" t="s">
        <v>1525</v>
      </c>
      <c r="B544" t="s">
        <v>1527</v>
      </c>
      <c r="C544" s="829">
        <v>19202200273</v>
      </c>
      <c r="D544" s="829">
        <v>3.7629999999999999</v>
      </c>
      <c r="E544" s="674" t="s">
        <v>419</v>
      </c>
    </row>
    <row r="545" spans="1:5" x14ac:dyDescent="0.25">
      <c r="A545" s="829" t="s">
        <v>1525</v>
      </c>
      <c r="B545" s="829" t="s">
        <v>1527</v>
      </c>
      <c r="C545" s="829">
        <v>19202200236</v>
      </c>
      <c r="D545" s="829">
        <v>3.5750000000000002</v>
      </c>
      <c r="E545" s="674" t="s">
        <v>419</v>
      </c>
    </row>
    <row r="546" spans="1:5" x14ac:dyDescent="0.25">
      <c r="A546" s="829" t="s">
        <v>1525</v>
      </c>
      <c r="B546" s="829" t="s">
        <v>1527</v>
      </c>
      <c r="C546" s="829">
        <v>19202200253</v>
      </c>
      <c r="D546" s="829">
        <v>3.45</v>
      </c>
      <c r="E546" s="674" t="s">
        <v>419</v>
      </c>
    </row>
    <row r="547" spans="1:5" x14ac:dyDescent="0.25">
      <c r="A547" s="829" t="s">
        <v>1525</v>
      </c>
      <c r="B547" s="829" t="s">
        <v>1527</v>
      </c>
      <c r="C547" s="829">
        <v>19202200245</v>
      </c>
      <c r="D547" s="829">
        <v>3.4129999999999998</v>
      </c>
      <c r="E547" s="674" t="s">
        <v>419</v>
      </c>
    </row>
    <row r="548" spans="1:5" x14ac:dyDescent="0.25">
      <c r="A548" s="829" t="s">
        <v>1525</v>
      </c>
      <c r="B548" s="829" t="s">
        <v>1527</v>
      </c>
      <c r="C548" s="829">
        <v>19202200271</v>
      </c>
      <c r="D548" s="829">
        <v>3.35</v>
      </c>
      <c r="E548" s="674" t="s">
        <v>419</v>
      </c>
    </row>
    <row r="549" spans="1:5" x14ac:dyDescent="0.25">
      <c r="A549" s="829" t="s">
        <v>1525</v>
      </c>
      <c r="B549" s="829" t="s">
        <v>1527</v>
      </c>
      <c r="C549" s="829">
        <v>19202200247</v>
      </c>
      <c r="D549" s="829">
        <v>3.3250000000000002</v>
      </c>
      <c r="E549" s="674" t="s">
        <v>419</v>
      </c>
    </row>
    <row r="550" spans="1:5" x14ac:dyDescent="0.25">
      <c r="A550" s="829" t="s">
        <v>1525</v>
      </c>
      <c r="B550" s="829" t="s">
        <v>1527</v>
      </c>
      <c r="C550" s="829">
        <v>19202200223</v>
      </c>
      <c r="D550" s="829">
        <v>3.3</v>
      </c>
      <c r="E550" s="674" t="s">
        <v>419</v>
      </c>
    </row>
    <row r="551" spans="1:5" x14ac:dyDescent="0.25">
      <c r="A551" s="829" t="s">
        <v>1525</v>
      </c>
      <c r="B551" s="829" t="s">
        <v>1527</v>
      </c>
      <c r="C551" s="829">
        <v>19202200238</v>
      </c>
      <c r="D551" s="829">
        <v>3.25</v>
      </c>
      <c r="E551" s="674" t="s">
        <v>419</v>
      </c>
    </row>
    <row r="552" spans="1:5" x14ac:dyDescent="0.25">
      <c r="A552" s="829" t="s">
        <v>1525</v>
      </c>
      <c r="B552" s="829" t="s">
        <v>1527</v>
      </c>
      <c r="C552" s="829">
        <v>19202200257</v>
      </c>
      <c r="D552" s="829">
        <v>3.1</v>
      </c>
      <c r="E552" s="665" t="s">
        <v>420</v>
      </c>
    </row>
    <row r="553" spans="1:5" x14ac:dyDescent="0.25">
      <c r="A553" s="829" t="s">
        <v>1525</v>
      </c>
      <c r="B553" s="829" t="s">
        <v>1527</v>
      </c>
      <c r="C553" s="829">
        <v>19202200249</v>
      </c>
      <c r="D553" s="829">
        <v>3.05</v>
      </c>
      <c r="E553" s="665" t="s">
        <v>420</v>
      </c>
    </row>
    <row r="554" spans="1:5" x14ac:dyDescent="0.25">
      <c r="A554" s="829" t="s">
        <v>1525</v>
      </c>
      <c r="B554" s="829" t="s">
        <v>1527</v>
      </c>
      <c r="C554" s="829">
        <v>19202200244</v>
      </c>
      <c r="D554" s="829">
        <v>3.0129999999999999</v>
      </c>
      <c r="E554" s="665" t="s">
        <v>420</v>
      </c>
    </row>
    <row r="555" spans="1:5" x14ac:dyDescent="0.25">
      <c r="A555" s="829" t="s">
        <v>1525</v>
      </c>
      <c r="B555" s="829" t="s">
        <v>1527</v>
      </c>
      <c r="C555" s="829">
        <v>19202200258</v>
      </c>
      <c r="D555" s="829">
        <v>2.95</v>
      </c>
      <c r="E555" s="665" t="s">
        <v>420</v>
      </c>
    </row>
    <row r="556" spans="1:5" x14ac:dyDescent="0.25">
      <c r="A556" s="829" t="s">
        <v>1525</v>
      </c>
      <c r="B556" s="829" t="s">
        <v>1527</v>
      </c>
      <c r="C556" s="829">
        <v>19202200235</v>
      </c>
      <c r="D556" s="829">
        <v>2.6749999999999998</v>
      </c>
      <c r="E556" s="665" t="s">
        <v>420</v>
      </c>
    </row>
    <row r="557" spans="1:5" x14ac:dyDescent="0.25">
      <c r="A557" s="829" t="s">
        <v>1525</v>
      </c>
      <c r="B557" s="829" t="s">
        <v>1527</v>
      </c>
      <c r="C557" s="829">
        <v>19202200240</v>
      </c>
      <c r="D557" s="829">
        <v>2.5880000000000001</v>
      </c>
      <c r="E557" s="665" t="s">
        <v>420</v>
      </c>
    </row>
    <row r="558" spans="1:5" x14ac:dyDescent="0.25">
      <c r="A558" s="829" t="s">
        <v>1525</v>
      </c>
      <c r="B558" s="829" t="s">
        <v>1527</v>
      </c>
      <c r="C558" s="829">
        <v>19202200171</v>
      </c>
      <c r="D558" s="829">
        <v>1.375</v>
      </c>
      <c r="E558" s="665" t="s">
        <v>420</v>
      </c>
    </row>
    <row r="559" spans="1:5" x14ac:dyDescent="0.25">
      <c r="A559" s="829" t="s">
        <v>1525</v>
      </c>
      <c r="B559" t="s">
        <v>1528</v>
      </c>
      <c r="C559" s="829">
        <v>19202200256</v>
      </c>
      <c r="D559" s="829">
        <v>3.7610000000000001</v>
      </c>
      <c r="E559" s="674" t="s">
        <v>419</v>
      </c>
    </row>
    <row r="560" spans="1:5" x14ac:dyDescent="0.25">
      <c r="A560" s="829" t="s">
        <v>1525</v>
      </c>
      <c r="B560" s="829" t="s">
        <v>1528</v>
      </c>
      <c r="C560" s="829">
        <v>19202200260</v>
      </c>
      <c r="D560" s="829">
        <v>3.754</v>
      </c>
      <c r="E560" s="674" t="s">
        <v>419</v>
      </c>
    </row>
    <row r="561" spans="1:5" x14ac:dyDescent="0.25">
      <c r="A561" s="829" t="s">
        <v>1525</v>
      </c>
      <c r="B561" s="829" t="s">
        <v>1528</v>
      </c>
      <c r="C561" s="829">
        <v>19202200182</v>
      </c>
      <c r="D561" s="829">
        <v>3.6619999999999999</v>
      </c>
      <c r="E561" s="674" t="s">
        <v>419</v>
      </c>
    </row>
    <row r="562" spans="1:5" x14ac:dyDescent="0.25">
      <c r="A562" s="829" t="s">
        <v>1525</v>
      </c>
      <c r="B562" s="829" t="s">
        <v>1528</v>
      </c>
      <c r="C562" s="829">
        <v>19202200270</v>
      </c>
      <c r="D562" s="829">
        <v>3.5209999999999999</v>
      </c>
      <c r="E562" s="674" t="s">
        <v>419</v>
      </c>
    </row>
    <row r="563" spans="1:5" x14ac:dyDescent="0.25">
      <c r="A563" s="829" t="s">
        <v>1525</v>
      </c>
      <c r="B563" s="829" t="s">
        <v>1528</v>
      </c>
      <c r="C563" s="829">
        <v>19202200248</v>
      </c>
      <c r="D563" s="829">
        <v>3.2709999999999999</v>
      </c>
      <c r="E563" s="674" t="s">
        <v>419</v>
      </c>
    </row>
    <row r="564" spans="1:5" x14ac:dyDescent="0.25">
      <c r="A564" s="829" t="s">
        <v>1525</v>
      </c>
      <c r="B564" s="829" t="s">
        <v>1528</v>
      </c>
      <c r="C564" s="829">
        <v>19202200168</v>
      </c>
      <c r="D564" s="829">
        <v>2.944</v>
      </c>
      <c r="E564" s="674" t="s">
        <v>419</v>
      </c>
    </row>
    <row r="565" spans="1:5" x14ac:dyDescent="0.25">
      <c r="A565" s="829" t="s">
        <v>1525</v>
      </c>
      <c r="B565" s="829" t="s">
        <v>1528</v>
      </c>
      <c r="C565" s="829">
        <v>19202200255</v>
      </c>
      <c r="D565" s="829">
        <v>2.847</v>
      </c>
      <c r="E565" s="674" t="s">
        <v>419</v>
      </c>
    </row>
    <row r="566" spans="1:5" x14ac:dyDescent="0.25">
      <c r="A566" s="829" t="s">
        <v>1525</v>
      </c>
      <c r="B566" s="829" t="s">
        <v>1528</v>
      </c>
      <c r="C566" s="829">
        <v>19202200231</v>
      </c>
      <c r="D566" s="829">
        <v>2.8170000000000002</v>
      </c>
      <c r="E566" s="674" t="s">
        <v>419</v>
      </c>
    </row>
    <row r="567" spans="1:5" x14ac:dyDescent="0.25">
      <c r="A567" s="829" t="s">
        <v>1525</v>
      </c>
      <c r="B567" s="829" t="s">
        <v>1528</v>
      </c>
      <c r="C567" s="829">
        <v>19202200233</v>
      </c>
      <c r="D567" s="829">
        <v>2.7290000000000001</v>
      </c>
      <c r="E567" s="665" t="s">
        <v>420</v>
      </c>
    </row>
    <row r="568" spans="1:5" x14ac:dyDescent="0.25">
      <c r="A568" s="829" t="s">
        <v>1525</v>
      </c>
      <c r="B568" s="829" t="s">
        <v>1528</v>
      </c>
      <c r="C568" s="829">
        <v>19202200259</v>
      </c>
      <c r="D568" s="829">
        <v>2.173</v>
      </c>
      <c r="E568" s="665" t="s">
        <v>420</v>
      </c>
    </row>
    <row r="569" spans="1:5" x14ac:dyDescent="0.25">
      <c r="A569" s="829" t="s">
        <v>1525</v>
      </c>
      <c r="B569" t="s">
        <v>1353</v>
      </c>
      <c r="C569" s="829">
        <v>19202200272</v>
      </c>
      <c r="D569" s="829">
        <v>3.7130000000000001</v>
      </c>
      <c r="E569" s="674" t="s">
        <v>419</v>
      </c>
    </row>
    <row r="570" spans="1:5" x14ac:dyDescent="0.25">
      <c r="A570" s="829" t="s">
        <v>1525</v>
      </c>
      <c r="B570" s="829" t="s">
        <v>1353</v>
      </c>
      <c r="C570" s="829">
        <v>19202200267</v>
      </c>
      <c r="D570" s="829">
        <v>3.6779999999999999</v>
      </c>
      <c r="E570" s="674" t="s">
        <v>419</v>
      </c>
    </row>
  </sheetData>
  <mergeCells count="1">
    <mergeCell ref="A1:E1"/>
  </mergeCells>
  <hyperlinks>
    <hyperlink ref="C304" r:id="rId1" location="/router?komponent=taotlus&amp;id=594288&amp;kuva=ava" display="https://pms.arib.pria.ee/pms-menetlus/ - /router?komponent=taotlus&amp;id=594288&amp;kuva=ava"/>
    <hyperlink ref="C305" r:id="rId2" location="/router?komponent=taotlus&amp;id=600063&amp;kuva=ava" display="https://pms.arib.pria.ee/pms-menetlus/ - /router?komponent=taotlus&amp;id=600063&amp;kuva=ava"/>
    <hyperlink ref="C306" r:id="rId3" location="/router?komponent=taotlus&amp;id=603995&amp;kuva=ava" display="https://pms.arib.pria.ee/pms-menetlus/ - /router?komponent=taotlus&amp;id=603995&amp;kuva=ava"/>
    <hyperlink ref="C307" r:id="rId4" location="/router?komponent=taotlus&amp;id=604403&amp;kuva=ava" display="https://pms.arib.pria.ee/pms-menetlus/ - /router?komponent=taotlus&amp;id=604403&amp;kuva=ava"/>
    <hyperlink ref="C308" r:id="rId5" location="/router?komponent=taotlus&amp;id=596591&amp;kuva=ava" display="https://pms.arib.pria.ee/pms-menetlus/ - /router?komponent=taotlus&amp;id=596591&amp;kuva=ava"/>
    <hyperlink ref="C309" r:id="rId6" location="/router?komponent=taotlus&amp;id=605649&amp;kuva=ava" display="https://pms.arib.pria.ee/pms-menetlus/ - /router?komponent=taotlus&amp;id=605649&amp;kuva=ava"/>
    <hyperlink ref="C310" r:id="rId7" location="/router?komponent=taotlus&amp;id=600056&amp;kuva=ava" display="https://pms.arib.pria.ee/pms-menetlus/ - /router?komponent=taotlus&amp;id=600056&amp;kuva=ava"/>
    <hyperlink ref="C311" r:id="rId8" location="/router?komponent=taotlus&amp;id=603846&amp;kuva=ava" display="https://pms.arib.pria.ee/pms-menetlus/ - /router?komponent=taotlus&amp;id=603846&amp;kuva=ava"/>
    <hyperlink ref="C312" r:id="rId9" location="/router?komponent=taotlus&amp;id=603646&amp;kuva=ava" display="https://pms.arib.pria.ee/pms-menetlus/ - /router?komponent=taotlus&amp;id=603646&amp;kuva=ava"/>
    <hyperlink ref="C313" r:id="rId10" location="/router?komponent=taotlus&amp;id=606842&amp;kuva=ava" display="https://pms.arib.pria.ee/pms-menetlus/ - /router?komponent=taotlus&amp;id=606842&amp;kuva=ava"/>
    <hyperlink ref="C314" r:id="rId11" location="/router?komponent=taotlus&amp;id=608466&amp;kuva=ava" display="https://pms.arib.pria.ee/pms-menetlus/ - /router?komponent=taotlus&amp;id=608466&amp;kuva=ava"/>
    <hyperlink ref="C315" r:id="rId12" location="/router?komponent=taotlus&amp;id=604180&amp;kuva=ava" display="https://pms.arib.pria.ee/pms-menetlus/ - /router?komponent=taotlus&amp;id=604180&amp;kuva=ava"/>
    <hyperlink ref="C316" r:id="rId13" location="/router?komponent=taotlus&amp;id=599861&amp;kuva=ava" display="https://pms.arib.pria.ee/pms-menetlus/ - /router?komponent=taotlus&amp;id=599861&amp;kuva=ava"/>
    <hyperlink ref="C317" r:id="rId14" location="/router?komponent=taotlus&amp;id=602911&amp;kuva=ava" display="https://pms.arib.pria.ee/pms-menetlus/ - /router?komponent=taotlus&amp;id=602911&amp;kuva=ava"/>
    <hyperlink ref="C318" r:id="rId15" location="/router?komponent=taotlus&amp;id=593598&amp;kuva=ava" display="https://pms.arib.pria.ee/pms-menetlus/ - /router?komponent=taotlus&amp;id=593598&amp;kuva=ava"/>
    <hyperlink ref="C319" r:id="rId16" location="/router?komponent=taotlus&amp;id=603582&amp;kuva=ava" display="https://pms.arib.pria.ee/pms-menetlus/ - /router?komponent=taotlus&amp;id=603582&amp;kuva=ava"/>
    <hyperlink ref="C320" r:id="rId17" location="/router?komponent=taotlus&amp;id=607175&amp;kuva=ava" display="https://pms.arib.pria.ee/pms-menetlus/ - /router?komponent=taotlus&amp;id=607175&amp;kuva=ava"/>
    <hyperlink ref="C321" r:id="rId18" location="/router?komponent=taotlus&amp;id=603950&amp;kuva=ava" display="https://pms.arib.pria.ee/pms-menetlus/ - /router?komponent=taotlus&amp;id=603950&amp;kuva=ava"/>
    <hyperlink ref="C322" r:id="rId19" location="/router?komponent=taotlus&amp;id=600358&amp;kuva=ava" display="https://pms.arib.pria.ee/pms-menetlus/ - /router?komponent=taotlus&amp;id=600358&amp;kuva=ava"/>
    <hyperlink ref="C323" r:id="rId20" location="/router?komponent=taotlus&amp;id=606841&amp;kuva=ava" display="https://pms.arib.pria.ee/pms-menetlus/ - /router?komponent=taotlus&amp;id=606841&amp;kuva=ava"/>
    <hyperlink ref="C324" r:id="rId21" location="/router?komponent=taotlus&amp;id=603046&amp;kuva=ava" display="https://pms.arib.pria.ee/pms-menetlus/ - /router?komponent=taotlus&amp;id=603046&amp;kuva=ava"/>
    <hyperlink ref="C325" r:id="rId22" location="/router?komponent=taotlus&amp;id=603047&amp;kuva=ava" display="https://pms.arib.pria.ee/pms-menetlus/ - /router?komponent=taotlus&amp;id=603047&amp;kuva=ava"/>
    <hyperlink ref="C326" r:id="rId23" location="/router?komponent=taotlus&amp;id=597120&amp;kuva=ava" display="https://pms.arib.pria.ee/pms-menetlus/ - /router?komponent=taotlus&amp;id=597120&amp;kuva=ava"/>
    <hyperlink ref="C327" r:id="rId24" location="/router?komponent=taotlus&amp;id=603580&amp;kuva=ava" display="https://pms.arib.pria.ee/pms-menetlus/ - /router?komponent=taotlus&amp;id=603580&amp;kuva=ava"/>
    <hyperlink ref="C328" r:id="rId25" location="/router?komponent=taotlus&amp;id=605703&amp;kuva=ava" display="https://pms.arib.pria.ee/pms-menetlus/ - /router?komponent=taotlus&amp;id=605703&amp;kuva=ava"/>
    <hyperlink ref="C329" r:id="rId26" location="/router?komponent=taotlus&amp;id=595128&amp;kuva=ava" display="https://pms.arib.pria.ee/pms-menetlus/ - /router?komponent=taotlus&amp;id=595128&amp;kuva=ava"/>
    <hyperlink ref="C330" r:id="rId27" location="/router?komponent=taotlus&amp;id=605735&amp;kuva=ava" display="https://pms.arib.pria.ee/pms-menetlus/ - /router?komponent=taotlus&amp;id=605735&amp;kuva=ava"/>
    <hyperlink ref="C331" r:id="rId28" location="/router?komponent=taotlus&amp;id=604703&amp;kuva=ava" display="https://pms.arib.pria.ee/pms-menetlus/ - /router?komponent=taotlus&amp;id=604703&amp;kuva=ava"/>
    <hyperlink ref="C332" r:id="rId29" location="/router?komponent=taotlus&amp;id=604764&amp;kuva=ava" display="https://pms.arib.pria.ee/pms-menetlus/ - /router?komponent=taotlus&amp;id=604764&amp;kuva=ava"/>
    <hyperlink ref="C333" r:id="rId30" location="/router?komponent=taotlus&amp;id=603413&amp;kuva=ava" display="https://pms.arib.pria.ee/pms-menetlus/ - /router?komponent=taotlus&amp;id=603413&amp;kuva=ava"/>
    <hyperlink ref="C334" r:id="rId31" location="/router?komponent=taotlus&amp;id=600066&amp;kuva=ava" display="https://pms.arib.pria.ee/pms-menetlus/ - /router?komponent=taotlus&amp;id=600066&amp;kuva=ava"/>
    <hyperlink ref="C335" r:id="rId32" location="/router?komponent=taotlus&amp;id=601973&amp;kuva=ava" display="https://pms.arib.pria.ee/pms-menetlus/ - /router?komponent=taotlus&amp;id=601973&amp;kuva=ava"/>
    <hyperlink ref="C336" r:id="rId33" location="/router?komponent=taotlus&amp;id=605579&amp;kuva=ava" display="https://pms.arib.pria.ee/pms-menetlus/ - /router?komponent=taotlus&amp;id=605579&amp;kuva=ava"/>
    <hyperlink ref="C337" r:id="rId34" location="/router?komponent=taotlus&amp;id=597509&amp;kuva=ava" display="https://pms.arib.pria.ee/pms-menetlus/ - /router?komponent=taotlus&amp;id=597509&amp;kuva=ava"/>
    <hyperlink ref="C338" r:id="rId35" location="/router?komponent=taotlus&amp;id=600010&amp;kuva=ava" display="https://pms.arib.pria.ee/pms-menetlus/ - /router?komponent=taotlus&amp;id=600010&amp;kuva=ava"/>
    <hyperlink ref="C339" r:id="rId36" location="/router?komponent=taotlus&amp;id=597953&amp;kuva=ava" display="https://pms.arib.pria.ee/pms-menetlus/ - /router?komponent=taotlus&amp;id=597953&amp;kuva=ava"/>
    <hyperlink ref="C340" r:id="rId37" location="/router?komponent=taotlus&amp;id=593855&amp;kuva=ava" display="https://pms.arib.pria.ee/pms-menetlus/ - /router?komponent=taotlus&amp;id=593855&amp;kuva=ava"/>
    <hyperlink ref="C341" r:id="rId38" location="/router?komponent=taotlus&amp;id=602659&amp;kuva=ava" display="https://pms.arib.pria.ee/pms-menetlus/ - /router?komponent=taotlus&amp;id=602659&amp;kuva=ava"/>
    <hyperlink ref="C342" r:id="rId39" location="/router?komponent=taotlus&amp;id=600569&amp;kuva=ava" display="https://pms.arib.pria.ee/pms-menetlus/ - /router?komponent=taotlus&amp;id=600569&amp;kuva=ava"/>
    <hyperlink ref="C343" r:id="rId40" location="/router?komponent=taotlus&amp;id=597954&amp;kuva=ava" display="https://pms.arib.pria.ee/pms-menetlus/ - /router?komponent=taotlus&amp;id=597954&amp;kuva=ava"/>
    <hyperlink ref="C344" r:id="rId41" location="/router?komponent=taotlus&amp;id=596324&amp;kuva=ava" display="https://pms.arib.pria.ee/pms-menetlus/ - /router?komponent=taotlus&amp;id=596324&amp;kuva=ava"/>
    <hyperlink ref="C345" r:id="rId42" location="/router?komponent=taotlus&amp;id=596213&amp;kuva=ava" display="https://pms.arib.pria.ee/pms-menetlus/ - /router?komponent=taotlus&amp;id=596213&amp;kuva=ava"/>
    <hyperlink ref="C346" r:id="rId43" location="/router?komponent=taotlus&amp;id=593051&amp;kuva=ava" display="https://pms.arib.pria.ee/pms-menetlus/ - /router?komponent=taotlus&amp;id=593051&amp;kuva=ava"/>
    <hyperlink ref="C347" r:id="rId44" location="/router?komponent=taotlus&amp;id=602505&amp;kuva=ava" display="https://pms.arib.pria.ee/pms-menetlus/ - /router?komponent=taotlus&amp;id=602505&amp;kuva=ava"/>
    <hyperlink ref="C348" r:id="rId45" location="/router?komponent=taotlus&amp;id=604587&amp;kuva=ava" display="https://pms.arib.pria.ee/pms-menetlus/ - /router?komponent=taotlus&amp;id=604587&amp;kuva=ava"/>
    <hyperlink ref="C349" r:id="rId46" location="/router?komponent=taotlus&amp;id=596861&amp;kuva=ava" display="https://pms.arib.pria.ee/pms-menetlus/ - /router?komponent=taotlus&amp;id=596861&amp;kuva=ava"/>
    <hyperlink ref="C350" r:id="rId47" location="/router?komponent=taotlus&amp;id=597002&amp;kuva=ava" display="https://pms.arib.pria.ee/pms-menetlus/ - /router?komponent=taotlus&amp;id=597002&amp;kuva=ava"/>
    <hyperlink ref="C351" r:id="rId48" location="/router?komponent=taotlus&amp;id=602914&amp;kuva=ava" display="https://pms.arib.pria.ee/pms-menetlus/ - /router?komponent=taotlus&amp;id=602914&amp;kuva=ava"/>
    <hyperlink ref="C352" r:id="rId49" location="/router?komponent=taotlus&amp;id=595248&amp;kuva=ava" display="https://pms.arib.pria.ee/pms-menetlus/ - /router?komponent=taotlus&amp;id=595248&amp;kuva=ava"/>
    <hyperlink ref="C353" r:id="rId50" location="/router?komponent=taotlus&amp;id=599375&amp;kuva=ava" display="https://pms.arib.pria.ee/pms-menetlus/ - /router?komponent=taotlus&amp;id=599375&amp;kuva=ava"/>
    <hyperlink ref="C354" r:id="rId51" location="/router?komponent=taotlus&amp;id=602712&amp;kuva=ava" display="https://pms.arib.pria.ee/pms-menetlus/ - /router?komponent=taotlus&amp;id=602712&amp;kuva=ava"/>
    <hyperlink ref="C355" r:id="rId52" location="/router?komponent=taotlus&amp;id=607886&amp;kuva=ava" display="https://pms.arib.pria.ee/pms-menetlus/ - /router?komponent=taotlus&amp;id=607886&amp;kuva=ava"/>
    <hyperlink ref="C356" r:id="rId53" location="/router?komponent=taotlus&amp;id=597947&amp;kuva=ava" display="https://pms.arib.pria.ee/pms-menetlus/ - /router?komponent=taotlus&amp;id=597947&amp;kuva=ava"/>
    <hyperlink ref="C357" r:id="rId54" location="/router?komponent=taotlus&amp;id=593545&amp;kuva=ava" display="https://pms.arib.pria.ee/pms-menetlus/ - /router?komponent=taotlus&amp;id=593545&amp;kuva=ava"/>
    <hyperlink ref="C358" r:id="rId55" location="/router?komponent=taotlus&amp;id=592919&amp;kuva=ava" display="https://pms.arib.pria.ee/pms-menetlus/ - /router?komponent=taotlus&amp;id=592919&amp;kuva=ava"/>
    <hyperlink ref="C359" r:id="rId56" location="/router?komponent=taotlus&amp;id=593342&amp;kuva=ava" display="https://pms.arib.pria.ee/pms-menetlus/ - /router?komponent=taotlus&amp;id=593342&amp;kuva=ava"/>
    <hyperlink ref="C360" r:id="rId57" location="/router?komponent=taotlus&amp;id=594977&amp;kuva=ava" display="https://pms.arib.pria.ee/pms-menetlus/ - /router?komponent=taotlus&amp;id=594977&amp;kuva=ava"/>
    <hyperlink ref="C361" r:id="rId58" location="/router?komponent=taotlus&amp;id=607281&amp;kuva=ava" display="https://pms.arib.pria.ee/pms-menetlus/ - /router?komponent=taotlus&amp;id=607281&amp;kuva=ava"/>
    <hyperlink ref="C362" r:id="rId59" location="/router?komponent=taotlus&amp;id=603952&amp;kuva=ava" display="https://pms.arib.pria.ee/pms-menetlus/ - /router?komponent=taotlus&amp;id=603952&amp;kuva=ava"/>
    <hyperlink ref="C363" r:id="rId60" location="/router?komponent=taotlus&amp;id=602409&amp;kuva=ava" display="https://pms.arib.pria.ee/pms-menetlus/ - /router?komponent=taotlus&amp;id=602409&amp;kuva=ava"/>
    <hyperlink ref="C364" r:id="rId61" location="/router?komponent=taotlus&amp;id=597763&amp;kuva=ava" display="https://pms.arib.pria.ee/pms-menetlus/ - /router?komponent=taotlus&amp;id=597763&amp;kuva=ava"/>
    <hyperlink ref="C365" r:id="rId62" location="/router?komponent=taotlus&amp;id=603463&amp;kuva=ava" display="https://pms.arib.pria.ee/pms-menetlus/ - /router?komponent=taotlus&amp;id=603463&amp;kuva=ava"/>
    <hyperlink ref="C366" r:id="rId63" location="/router?komponent=taotlus&amp;id=597186&amp;kuva=ava" display="https://pms.arib.pria.ee/pms-menetlus/ - /router?komponent=taotlus&amp;id=597186&amp;kuva=ava"/>
    <hyperlink ref="C367" r:id="rId64" location="/router?komponent=taotlus&amp;id=596327&amp;kuva=ava" display="https://pms.arib.pria.ee/pms-menetlus/ - /router?komponent=taotlus&amp;id=596327&amp;kuva=ava"/>
    <hyperlink ref="C368" r:id="rId65" location="/router?komponent=taotlus&amp;id=602915&amp;kuva=ava" display="https://pms.arib.pria.ee/pms-menetlus/ - /router?komponent=taotlus&amp;id=602915&amp;kuva=ava"/>
    <hyperlink ref="C369" r:id="rId66" location="/router?komponent=taotlus&amp;id=603953&amp;kuva=ava" display="https://pms.arib.pria.ee/pms-menetlus/ - /router?komponent=taotlus&amp;id=603953&amp;kuva=ava"/>
    <hyperlink ref="C370" r:id="rId67" location="/router?komponent=taotlus&amp;id=605433&amp;kuva=ava" display="https://pms.arib.pria.ee/pms-menetlus/ - /router?komponent=taotlus&amp;id=605433&amp;kuva=ava"/>
    <hyperlink ref="C371" r:id="rId68" location="/router?komponent=taotlus&amp;id=594382&amp;kuva=ava" display="https://pms.arib.pria.ee/pms-menetlus/ - /router?komponent=taotlus&amp;id=594382&amp;kuva=ava"/>
    <hyperlink ref="C372" r:id="rId69" location="/router?komponent=taotlus&amp;id=602913&amp;kuva=ava" display="https://pms.arib.pria.ee/pms-menetlus/ - /router?komponent=taotlus&amp;id=602913&amp;kuva=ava"/>
    <hyperlink ref="C373" r:id="rId70" location="/router?komponent=taotlus&amp;id=595608&amp;kuva=ava" display="https://pms.arib.pria.ee/pms-menetlus/ - /router?komponent=taotlus&amp;id=595608&amp;kuva=ava"/>
    <hyperlink ref="C374" r:id="rId71" location="/router?komponent=taotlus&amp;id=602772&amp;kuva=ava" display="https://pms.arib.pria.ee/pms-menetlus/ - /router?komponent=taotlus&amp;id=602772&amp;kuva=ava"/>
    <hyperlink ref="C375" r:id="rId72" location="/router?komponent=taotlus&amp;id=600221&amp;kuva=ava" display="https://pms.arib.pria.ee/pms-menetlus/ - /router?komponent=taotlus&amp;id=600221&amp;kuva=ava"/>
    <hyperlink ref="C376" r:id="rId73" location="/router?komponent=taotlus&amp;id=600064&amp;kuva=ava" display="https://pms.arib.pria.ee/pms-menetlus/ - /router?komponent=taotlus&amp;id=600064&amp;kuva=ava"/>
    <hyperlink ref="C377" r:id="rId74" location="/router?komponent=taotlus&amp;id=592720&amp;kuva=ava" display="https://pms.arib.pria.ee/pms-menetlus/ - /router?komponent=taotlus&amp;id=592720&amp;kuva=ava"/>
    <hyperlink ref="C378" r:id="rId75" location="/router?komponent=taotlus&amp;id=602456&amp;kuva=ava" display="https://pms.arib.pria.ee/pms-menetlus/ - /router?komponent=taotlus&amp;id=602456&amp;kuva=ava"/>
    <hyperlink ref="C379" r:id="rId76" location="/router?komponent=taotlus&amp;id=605699&amp;kuva=ava" display="https://pms.arib.pria.ee/pms-menetlus/ - /router?komponent=taotlus&amp;id=605699&amp;kuva=ava"/>
    <hyperlink ref="C380" r:id="rId77" location="/router?komponent=taotlus&amp;id=593711&amp;kuva=ava" display="https://pms.arib.pria.ee/pms-menetlus/ - /router?komponent=taotlus&amp;id=593711&amp;kuva=ava"/>
    <hyperlink ref="C381" r:id="rId78" location="/router?komponent=taotlus&amp;id=599655&amp;kuva=ava" display="https://pms.arib.pria.ee/pms-menetlus/ - /router?komponent=taotlus&amp;id=599655&amp;kuva=ava"/>
    <hyperlink ref="C383" r:id="rId79" location="/router?komponent=taotlus&amp;id=602821&amp;kuva=ava" display="https://pms.arib.pria.ee/pms-menetlus/ - /router?komponent=taotlus&amp;id=602821&amp;kuva=ava"/>
    <hyperlink ref="C384" r:id="rId80" location="/router?komponent=taotlus&amp;id=600223&amp;kuva=ava" display="https://pms.arib.pria.ee/pms-menetlus/ - /router?komponent=taotlus&amp;id=600223&amp;kuva=ava"/>
    <hyperlink ref="C385" r:id="rId81" location="/router?komponent=taotlus&amp;id=598492&amp;kuva=ava" display="https://pms.arib.pria.ee/pms-menetlus/ - /router?komponent=taotlus&amp;id=598492&amp;kuva=ava"/>
    <hyperlink ref="C386" r:id="rId82" location="/router?komponent=taotlus&amp;id=600618&amp;kuva=ava" display="https://pms.arib.pria.ee/pms-menetlus/ - /router?komponent=taotlus&amp;id=600618&amp;kuva=ava"/>
    <hyperlink ref="C387" r:id="rId83" location="/router?komponent=taotlus&amp;id=603159&amp;kuva=ava" display="https://pms.arib.pria.ee/pms-menetlus/ - /router?komponent=taotlus&amp;id=603159&amp;kuva=ava"/>
    <hyperlink ref="C388" r:id="rId84" location="/router?komponent=taotlus&amp;id=605431&amp;kuva=ava" display="https://pms.arib.pria.ee/pms-menetlus/ - /router?komponent=taotlus&amp;id=605431&amp;kuva=ava"/>
    <hyperlink ref="C389" r:id="rId85" location="/router?komponent=taotlus&amp;id=606948&amp;kuva=ava" display="https://pms.arib.pria.ee/pms-menetlus/ - /router?komponent=taotlus&amp;id=606948&amp;kuva=ava"/>
    <hyperlink ref="C390" r:id="rId86" location="/router?komponent=taotlus&amp;id=603412&amp;kuva=ava" display="https://pms.arib.pria.ee/pms-menetlus/ - /router?komponent=taotlus&amp;id=603412&amp;kuva=ava"/>
    <hyperlink ref="C382" r:id="rId87" location="/router?komponent=taotlus&amp;id=602821&amp;kuva=ava" display="https://pms.arib.pria.ee/pms-menetlus/ - /router?komponent=taotlus&amp;id=602821&amp;kuva=ava"/>
    <hyperlink ref="C391" r:id="rId88" location="/router?komponent=taotlus&amp;id=605578&amp;kuva=ava" display="https://pms.arib.pria.ee/pms-menetlus/ - /router?komponent=taotlus&amp;id=605578&amp;kuva=ava"/>
    <hyperlink ref="C392" r:id="rId89" location="/router?komponent=taotlus&amp;id=600016&amp;kuva=ava" display="https://pms.arib.pria.ee/pms-menetlus/ - /router?komponent=taotlus&amp;id=600016&amp;kuva=ava"/>
    <hyperlink ref="C393" r:id="rId90" location="/router?komponent=taotlus&amp;id=606980&amp;kuva=ava" display="https://pms.arib.pria.ee/pms-menetlus/ - /router?komponent=taotlus&amp;id=606980&amp;kuva=ava"/>
    <hyperlink ref="C394" r:id="rId91" location="/router?komponent=taotlus&amp;id=600571&amp;kuva=ava" display="https://pms.arib.pria.ee/pms-menetlus/ - /router?komponent=taotlus&amp;id=600571&amp;kuva=ava"/>
    <hyperlink ref="C395" r:id="rId92" location="/router?komponent=taotlus&amp;id=604698&amp;kuva=ava" display="https://pms.arib.pria.ee/pms-menetlus/ - /router?komponent=taotlus&amp;id=604698&amp;kuva=ava"/>
    <hyperlink ref="C396" r:id="rId93" location="/router?komponent=taotlus&amp;id=603045&amp;kuva=ava" display="https://pms.arib.pria.ee/pms-menetlus/ - /router?komponent=taotlus&amp;id=603045&amp;kuva=ava"/>
    <hyperlink ref="C397" r:id="rId94" location="/router?komponent=taotlus&amp;id=600360&amp;kuva=ava" display="https://pms.arib.pria.ee/pms-menetlus/ - /router?komponent=taotlus&amp;id=600360&amp;kuva=ava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7"/>
  <sheetViews>
    <sheetView workbookViewId="0">
      <pane ySplit="2" topLeftCell="A484" activePane="bottomLeft" state="frozen"/>
      <selection pane="bottomLeft" activeCell="I496" sqref="I496"/>
    </sheetView>
  </sheetViews>
  <sheetFormatPr defaultRowHeight="15" x14ac:dyDescent="0.25"/>
  <cols>
    <col min="1" max="1" width="24" customWidth="1"/>
    <col min="2" max="2" width="48" customWidth="1"/>
    <col min="3" max="3" width="19.42578125" customWidth="1"/>
    <col min="4" max="4" width="13.140625" customWidth="1"/>
    <col min="5" max="5" width="15.140625" customWidth="1"/>
  </cols>
  <sheetData>
    <row r="1" spans="1:5" ht="15.75" x14ac:dyDescent="0.25">
      <c r="A1" s="847" t="s">
        <v>29</v>
      </c>
      <c r="B1" s="848"/>
      <c r="C1" s="848"/>
      <c r="D1" s="848"/>
      <c r="E1" s="849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432</v>
      </c>
      <c r="B3" s="91" t="s">
        <v>433</v>
      </c>
      <c r="C3" s="49" t="str">
        <f>"619216670817"</f>
        <v>619216670817</v>
      </c>
      <c r="D3" s="38">
        <v>65</v>
      </c>
      <c r="E3" s="39" t="s">
        <v>419</v>
      </c>
    </row>
    <row r="4" spans="1:5" x14ac:dyDescent="0.25">
      <c r="A4" s="60" t="s">
        <v>432</v>
      </c>
      <c r="B4" s="1" t="s">
        <v>433</v>
      </c>
      <c r="C4" s="2" t="str">
        <f>"619216670818"</f>
        <v>619216670818</v>
      </c>
      <c r="D4" s="9">
        <v>64.89</v>
      </c>
      <c r="E4" s="41" t="s">
        <v>419</v>
      </c>
    </row>
    <row r="5" spans="1:5" x14ac:dyDescent="0.25">
      <c r="A5" s="60" t="s">
        <v>432</v>
      </c>
      <c r="B5" s="1" t="s">
        <v>433</v>
      </c>
      <c r="C5" s="2" t="str">
        <f>"619216670820"</f>
        <v>619216670820</v>
      </c>
      <c r="D5" s="9">
        <v>64.44</v>
      </c>
      <c r="E5" s="41" t="s">
        <v>419</v>
      </c>
    </row>
    <row r="6" spans="1:5" x14ac:dyDescent="0.25">
      <c r="A6" s="60" t="s">
        <v>432</v>
      </c>
      <c r="B6" s="1" t="s">
        <v>433</v>
      </c>
      <c r="C6" s="2" t="str">
        <f>"619216670822"</f>
        <v>619216670822</v>
      </c>
      <c r="D6" s="9">
        <v>64.44</v>
      </c>
      <c r="E6" s="41" t="s">
        <v>419</v>
      </c>
    </row>
    <row r="7" spans="1:5" x14ac:dyDescent="0.25">
      <c r="A7" s="60" t="s">
        <v>432</v>
      </c>
      <c r="B7" s="1" t="s">
        <v>433</v>
      </c>
      <c r="C7" s="2" t="str">
        <f>"619216670824"</f>
        <v>619216670824</v>
      </c>
      <c r="D7" s="9">
        <v>63.56</v>
      </c>
      <c r="E7" s="41" t="s">
        <v>419</v>
      </c>
    </row>
    <row r="8" spans="1:5" x14ac:dyDescent="0.25">
      <c r="A8" s="60" t="s">
        <v>432</v>
      </c>
      <c r="B8" s="1" t="s">
        <v>433</v>
      </c>
      <c r="C8" s="27" t="str">
        <f>"619216670825"</f>
        <v>619216670825</v>
      </c>
      <c r="D8" s="9">
        <v>63.44</v>
      </c>
      <c r="E8" s="41" t="s">
        <v>419</v>
      </c>
    </row>
    <row r="9" spans="1:5" x14ac:dyDescent="0.25">
      <c r="A9" s="60" t="s">
        <v>432</v>
      </c>
      <c r="B9" s="1" t="s">
        <v>433</v>
      </c>
      <c r="C9" s="27" t="str">
        <f>"619216670826"</f>
        <v>619216670826</v>
      </c>
      <c r="D9" s="9">
        <v>63.44</v>
      </c>
      <c r="E9" s="41" t="s">
        <v>419</v>
      </c>
    </row>
    <row r="10" spans="1:5" x14ac:dyDescent="0.25">
      <c r="A10" s="60" t="s">
        <v>432</v>
      </c>
      <c r="B10" s="1" t="s">
        <v>433</v>
      </c>
      <c r="C10" s="27" t="str">
        <f>"619216670827"</f>
        <v>619216670827</v>
      </c>
      <c r="D10" s="9">
        <v>63.33</v>
      </c>
      <c r="E10" s="41" t="s">
        <v>419</v>
      </c>
    </row>
    <row r="11" spans="1:5" x14ac:dyDescent="0.25">
      <c r="A11" s="60" t="s">
        <v>432</v>
      </c>
      <c r="B11" s="1" t="s">
        <v>433</v>
      </c>
      <c r="C11" s="27" t="str">
        <f>"619216670851"</f>
        <v>619216670851</v>
      </c>
      <c r="D11" s="9">
        <v>63.11</v>
      </c>
      <c r="E11" s="41" t="s">
        <v>419</v>
      </c>
    </row>
    <row r="12" spans="1:5" x14ac:dyDescent="0.25">
      <c r="A12" s="60" t="s">
        <v>432</v>
      </c>
      <c r="B12" s="1" t="s">
        <v>433</v>
      </c>
      <c r="C12" s="27" t="str">
        <f>"619216670829"</f>
        <v>619216670829</v>
      </c>
      <c r="D12" s="9">
        <v>61.67</v>
      </c>
      <c r="E12" s="41" t="s">
        <v>419</v>
      </c>
    </row>
    <row r="13" spans="1:5" x14ac:dyDescent="0.25">
      <c r="A13" s="60" t="s">
        <v>432</v>
      </c>
      <c r="B13" s="1" t="s">
        <v>433</v>
      </c>
      <c r="C13" s="2" t="str">
        <f>"619216670852"</f>
        <v>619216670852</v>
      </c>
      <c r="D13" s="9">
        <v>61.67</v>
      </c>
      <c r="E13" s="41" t="s">
        <v>419</v>
      </c>
    </row>
    <row r="14" spans="1:5" x14ac:dyDescent="0.25">
      <c r="A14" s="60" t="s">
        <v>432</v>
      </c>
      <c r="B14" s="1" t="s">
        <v>433</v>
      </c>
      <c r="C14" s="2" t="str">
        <f>"619216670816"</f>
        <v>619216670816</v>
      </c>
      <c r="D14" s="9">
        <v>61.67</v>
      </c>
      <c r="E14" s="66" t="s">
        <v>420</v>
      </c>
    </row>
    <row r="15" spans="1:5" x14ac:dyDescent="0.25">
      <c r="A15" s="60" t="s">
        <v>432</v>
      </c>
      <c r="B15" s="1" t="s">
        <v>433</v>
      </c>
      <c r="C15" s="2" t="str">
        <f>"619216670831"</f>
        <v>619216670831</v>
      </c>
      <c r="D15" s="9">
        <v>60.78</v>
      </c>
      <c r="E15" s="66" t="s">
        <v>420</v>
      </c>
    </row>
    <row r="16" spans="1:5" x14ac:dyDescent="0.25">
      <c r="A16" s="60" t="s">
        <v>432</v>
      </c>
      <c r="B16" s="1" t="s">
        <v>433</v>
      </c>
      <c r="C16" s="2" t="str">
        <f>"619216670833"</f>
        <v>619216670833</v>
      </c>
      <c r="D16" s="9">
        <v>60</v>
      </c>
      <c r="E16" s="66" t="s">
        <v>420</v>
      </c>
    </row>
    <row r="17" spans="1:5" x14ac:dyDescent="0.25">
      <c r="A17" s="60" t="s">
        <v>432</v>
      </c>
      <c r="B17" s="1" t="s">
        <v>433</v>
      </c>
      <c r="C17" s="2" t="str">
        <f>"619216670834"</f>
        <v>619216670834</v>
      </c>
      <c r="D17" s="9">
        <v>59.44</v>
      </c>
      <c r="E17" s="66" t="s">
        <v>420</v>
      </c>
    </row>
    <row r="18" spans="1:5" x14ac:dyDescent="0.25">
      <c r="A18" s="60" t="s">
        <v>432</v>
      </c>
      <c r="B18" s="1" t="s">
        <v>433</v>
      </c>
      <c r="C18" s="2" t="str">
        <f>"619216670836"</f>
        <v>619216670836</v>
      </c>
      <c r="D18" s="9">
        <v>58.67</v>
      </c>
      <c r="E18" s="66" t="s">
        <v>420</v>
      </c>
    </row>
    <row r="19" spans="1:5" x14ac:dyDescent="0.25">
      <c r="A19" s="60" t="s">
        <v>432</v>
      </c>
      <c r="B19" s="1" t="s">
        <v>433</v>
      </c>
      <c r="C19" s="2" t="str">
        <f>"619216670838"</f>
        <v>619216670838</v>
      </c>
      <c r="D19" s="9">
        <v>58.56</v>
      </c>
      <c r="E19" s="66" t="s">
        <v>420</v>
      </c>
    </row>
    <row r="20" spans="1:5" x14ac:dyDescent="0.25">
      <c r="A20" s="60" t="s">
        <v>432</v>
      </c>
      <c r="B20" s="1" t="s">
        <v>433</v>
      </c>
      <c r="C20" s="2" t="str">
        <f>"619216670839"</f>
        <v>619216670839</v>
      </c>
      <c r="D20" s="9">
        <v>56.78</v>
      </c>
      <c r="E20" s="66" t="s">
        <v>420</v>
      </c>
    </row>
    <row r="21" spans="1:5" x14ac:dyDescent="0.25">
      <c r="A21" s="60" t="s">
        <v>432</v>
      </c>
      <c r="B21" s="1" t="s">
        <v>433</v>
      </c>
      <c r="C21" s="2" t="str">
        <f>"619216670840"</f>
        <v>619216670840</v>
      </c>
      <c r="D21" s="9">
        <v>56.78</v>
      </c>
      <c r="E21" s="66" t="s">
        <v>420</v>
      </c>
    </row>
    <row r="22" spans="1:5" x14ac:dyDescent="0.25">
      <c r="A22" s="60" t="s">
        <v>432</v>
      </c>
      <c r="B22" s="1" t="s">
        <v>433</v>
      </c>
      <c r="C22" s="27" t="str">
        <f>"619216670835"</f>
        <v>619216670835</v>
      </c>
      <c r="D22" s="9">
        <v>56.44</v>
      </c>
      <c r="E22" s="66" t="s">
        <v>420</v>
      </c>
    </row>
    <row r="23" spans="1:5" x14ac:dyDescent="0.25">
      <c r="A23" s="60" t="s">
        <v>432</v>
      </c>
      <c r="B23" s="1" t="s">
        <v>433</v>
      </c>
      <c r="C23" s="2" t="str">
        <f>"619216670837"</f>
        <v>619216670837</v>
      </c>
      <c r="D23" s="9">
        <v>55.78</v>
      </c>
      <c r="E23" s="66" t="s">
        <v>420</v>
      </c>
    </row>
    <row r="24" spans="1:5" x14ac:dyDescent="0.25">
      <c r="A24" s="60" t="s">
        <v>432</v>
      </c>
      <c r="B24" s="1" t="s">
        <v>433</v>
      </c>
      <c r="C24" s="2" t="str">
        <f>"619216670841"</f>
        <v>619216670841</v>
      </c>
      <c r="D24" s="9">
        <v>54.22</v>
      </c>
      <c r="E24" s="66" t="s">
        <v>420</v>
      </c>
    </row>
    <row r="25" spans="1:5" x14ac:dyDescent="0.25">
      <c r="A25" s="60" t="s">
        <v>432</v>
      </c>
      <c r="B25" s="1" t="s">
        <v>433</v>
      </c>
      <c r="C25" s="2" t="str">
        <f>"619216670842"</f>
        <v>619216670842</v>
      </c>
      <c r="D25" s="9">
        <v>52.22</v>
      </c>
      <c r="E25" s="66" t="s">
        <v>420</v>
      </c>
    </row>
    <row r="26" spans="1:5" x14ac:dyDescent="0.25">
      <c r="A26" s="60" t="s">
        <v>432</v>
      </c>
      <c r="B26" s="1" t="s">
        <v>433</v>
      </c>
      <c r="C26" s="2" t="str">
        <f>"619216670843"</f>
        <v>619216670843</v>
      </c>
      <c r="D26" s="15">
        <v>52.22</v>
      </c>
      <c r="E26" s="66" t="s">
        <v>420</v>
      </c>
    </row>
    <row r="27" spans="1:5" x14ac:dyDescent="0.25">
      <c r="A27" s="60" t="s">
        <v>432</v>
      </c>
      <c r="B27" s="1" t="s">
        <v>433</v>
      </c>
      <c r="C27" s="2" t="str">
        <f>"619216670844"</f>
        <v>619216670844</v>
      </c>
      <c r="D27" s="15">
        <v>52.11</v>
      </c>
      <c r="E27" s="66" t="s">
        <v>420</v>
      </c>
    </row>
    <row r="28" spans="1:5" x14ac:dyDescent="0.25">
      <c r="A28" s="60" t="s">
        <v>432</v>
      </c>
      <c r="B28" s="1" t="s">
        <v>433</v>
      </c>
      <c r="C28" s="2" t="str">
        <f>"619216670845"</f>
        <v>619216670845</v>
      </c>
      <c r="D28" s="15">
        <v>51.44</v>
      </c>
      <c r="E28" s="66" t="s">
        <v>420</v>
      </c>
    </row>
    <row r="29" spans="1:5" x14ac:dyDescent="0.25">
      <c r="A29" s="60" t="s">
        <v>432</v>
      </c>
      <c r="B29" s="1" t="s">
        <v>433</v>
      </c>
      <c r="C29" s="2" t="str">
        <f>"619216670846"</f>
        <v>619216670846</v>
      </c>
      <c r="D29" s="15">
        <v>46.44</v>
      </c>
      <c r="E29" s="66" t="s">
        <v>420</v>
      </c>
    </row>
    <row r="30" spans="1:5" x14ac:dyDescent="0.25">
      <c r="A30" s="60" t="s">
        <v>432</v>
      </c>
      <c r="B30" s="1" t="s">
        <v>433</v>
      </c>
      <c r="C30" s="2" t="str">
        <f>"619216670847"</f>
        <v>619216670847</v>
      </c>
      <c r="D30" s="15">
        <v>46.22</v>
      </c>
      <c r="E30" s="66" t="s">
        <v>420</v>
      </c>
    </row>
    <row r="31" spans="1:5" x14ac:dyDescent="0.25">
      <c r="A31" s="60" t="s">
        <v>432</v>
      </c>
      <c r="B31" s="1" t="s">
        <v>433</v>
      </c>
      <c r="C31" s="2" t="str">
        <f>"619216570848"</f>
        <v>619216570848</v>
      </c>
      <c r="D31" s="15">
        <v>45.89</v>
      </c>
      <c r="E31" s="66" t="s">
        <v>420</v>
      </c>
    </row>
    <row r="32" spans="1:5" x14ac:dyDescent="0.25">
      <c r="A32" s="60" t="s">
        <v>432</v>
      </c>
      <c r="B32" s="1" t="s">
        <v>433</v>
      </c>
      <c r="C32" s="2" t="str">
        <f>"619216670849"</f>
        <v>619216670849</v>
      </c>
      <c r="D32" s="15">
        <v>45.44</v>
      </c>
      <c r="E32" s="66" t="s">
        <v>420</v>
      </c>
    </row>
    <row r="33" spans="1:5" ht="15.75" thickBot="1" x14ac:dyDescent="0.3">
      <c r="A33" s="61" t="s">
        <v>432</v>
      </c>
      <c r="B33" s="62" t="s">
        <v>433</v>
      </c>
      <c r="C33" s="51" t="str">
        <f>"619216670850"</f>
        <v>619216670850</v>
      </c>
      <c r="D33" s="97">
        <v>44.33</v>
      </c>
      <c r="E33" s="46" t="s">
        <v>420</v>
      </c>
    </row>
    <row r="34" spans="1:5" x14ac:dyDescent="0.25">
      <c r="A34" s="58" t="s">
        <v>432</v>
      </c>
      <c r="B34" s="64" t="s">
        <v>434</v>
      </c>
      <c r="C34" s="49" t="str">
        <f>"619216670819"</f>
        <v>619216670819</v>
      </c>
      <c r="D34" s="98">
        <v>64.11</v>
      </c>
      <c r="E34" s="39" t="s">
        <v>419</v>
      </c>
    </row>
    <row r="35" spans="1:5" x14ac:dyDescent="0.25">
      <c r="A35" s="60" t="s">
        <v>432</v>
      </c>
      <c r="B35" s="25" t="s">
        <v>434</v>
      </c>
      <c r="C35" s="2" t="str">
        <f>"619216670821"</f>
        <v>619216670821</v>
      </c>
      <c r="D35" s="15">
        <v>60.33</v>
      </c>
      <c r="E35" s="41" t="s">
        <v>419</v>
      </c>
    </row>
    <row r="36" spans="1:5" ht="15.75" thickBot="1" x14ac:dyDescent="0.3">
      <c r="A36" s="61" t="s">
        <v>432</v>
      </c>
      <c r="B36" s="88" t="s">
        <v>434</v>
      </c>
      <c r="C36" s="51" t="str">
        <f>"619216670823"</f>
        <v>619216670823</v>
      </c>
      <c r="D36" s="97">
        <v>54.44</v>
      </c>
      <c r="E36" s="87" t="s">
        <v>419</v>
      </c>
    </row>
    <row r="37" spans="1:5" x14ac:dyDescent="0.25">
      <c r="A37" s="58" t="s">
        <v>471</v>
      </c>
      <c r="B37" s="91" t="s">
        <v>472</v>
      </c>
      <c r="C37" s="36" t="s">
        <v>473</v>
      </c>
      <c r="D37" s="38">
        <v>75.67</v>
      </c>
      <c r="E37" s="39" t="s">
        <v>419</v>
      </c>
    </row>
    <row r="38" spans="1:5" x14ac:dyDescent="0.25">
      <c r="A38" s="60" t="s">
        <v>471</v>
      </c>
      <c r="B38" s="1" t="s">
        <v>472</v>
      </c>
      <c r="C38" s="11" t="str">
        <f>"619216671242"</f>
        <v>619216671242</v>
      </c>
      <c r="D38" s="9">
        <v>73.78</v>
      </c>
      <c r="E38" s="41" t="s">
        <v>419</v>
      </c>
    </row>
    <row r="39" spans="1:5" x14ac:dyDescent="0.25">
      <c r="A39" s="60" t="s">
        <v>471</v>
      </c>
      <c r="B39" s="1" t="s">
        <v>472</v>
      </c>
      <c r="C39" s="11" t="str">
        <f>"619216671245"</f>
        <v>619216671245</v>
      </c>
      <c r="D39" s="9">
        <v>71.89</v>
      </c>
      <c r="E39" s="41" t="s">
        <v>419</v>
      </c>
    </row>
    <row r="40" spans="1:5" x14ac:dyDescent="0.25">
      <c r="A40" s="60" t="s">
        <v>471</v>
      </c>
      <c r="B40" s="1" t="s">
        <v>472</v>
      </c>
      <c r="C40" s="11" t="s">
        <v>474</v>
      </c>
      <c r="D40" s="9">
        <v>71.56</v>
      </c>
      <c r="E40" s="41" t="s">
        <v>419</v>
      </c>
    </row>
    <row r="41" spans="1:5" x14ac:dyDescent="0.25">
      <c r="A41" s="60" t="s">
        <v>471</v>
      </c>
      <c r="B41" s="1" t="s">
        <v>472</v>
      </c>
      <c r="C41" s="11" t="s">
        <v>475</v>
      </c>
      <c r="D41" s="9">
        <v>69.67</v>
      </c>
      <c r="E41" s="41" t="s">
        <v>419</v>
      </c>
    </row>
    <row r="42" spans="1:5" x14ac:dyDescent="0.25">
      <c r="A42" s="60" t="s">
        <v>471</v>
      </c>
      <c r="B42" s="1" t="s">
        <v>472</v>
      </c>
      <c r="C42" s="11" t="s">
        <v>476</v>
      </c>
      <c r="D42" s="9">
        <v>68.78</v>
      </c>
      <c r="E42" s="41" t="s">
        <v>419</v>
      </c>
    </row>
    <row r="43" spans="1:5" x14ac:dyDescent="0.25">
      <c r="A43" s="60" t="s">
        <v>471</v>
      </c>
      <c r="B43" s="1" t="s">
        <v>472</v>
      </c>
      <c r="C43" s="11" t="s">
        <v>477</v>
      </c>
      <c r="D43" s="9">
        <v>67.67</v>
      </c>
      <c r="E43" s="41" t="s">
        <v>419</v>
      </c>
    </row>
    <row r="44" spans="1:5" x14ac:dyDescent="0.25">
      <c r="A44" s="60" t="s">
        <v>471</v>
      </c>
      <c r="B44" s="1" t="s">
        <v>472</v>
      </c>
      <c r="C44" s="11" t="s">
        <v>478</v>
      </c>
      <c r="D44" s="9">
        <v>67.44</v>
      </c>
      <c r="E44" s="41" t="s">
        <v>419</v>
      </c>
    </row>
    <row r="45" spans="1:5" x14ac:dyDescent="0.25">
      <c r="A45" s="60" t="s">
        <v>471</v>
      </c>
      <c r="B45" s="1" t="s">
        <v>472</v>
      </c>
      <c r="C45" s="11" t="str">
        <f>"619216671256"</f>
        <v>619216671256</v>
      </c>
      <c r="D45" s="9">
        <v>66.67</v>
      </c>
      <c r="E45" s="41" t="s">
        <v>419</v>
      </c>
    </row>
    <row r="46" spans="1:5" x14ac:dyDescent="0.25">
      <c r="A46" s="60" t="s">
        <v>471</v>
      </c>
      <c r="B46" s="1" t="s">
        <v>472</v>
      </c>
      <c r="C46" s="11" t="s">
        <v>479</v>
      </c>
      <c r="D46" s="9">
        <v>66.22</v>
      </c>
      <c r="E46" s="41" t="s">
        <v>419</v>
      </c>
    </row>
    <row r="47" spans="1:5" x14ac:dyDescent="0.25">
      <c r="A47" s="60" t="s">
        <v>471</v>
      </c>
      <c r="B47" s="1" t="s">
        <v>472</v>
      </c>
      <c r="C47" s="11" t="s">
        <v>480</v>
      </c>
      <c r="D47" s="9">
        <v>65.44</v>
      </c>
      <c r="E47" s="41" t="s">
        <v>419</v>
      </c>
    </row>
    <row r="48" spans="1:5" x14ac:dyDescent="0.25">
      <c r="A48" s="60" t="s">
        <v>471</v>
      </c>
      <c r="B48" s="1" t="s">
        <v>472</v>
      </c>
      <c r="C48" s="11" t="str">
        <f>"619216671260"</f>
        <v>619216671260</v>
      </c>
      <c r="D48" s="9">
        <v>65.22</v>
      </c>
      <c r="E48" s="41" t="s">
        <v>419</v>
      </c>
    </row>
    <row r="49" spans="1:5" x14ac:dyDescent="0.25">
      <c r="A49" s="60" t="s">
        <v>471</v>
      </c>
      <c r="B49" s="1" t="s">
        <v>472</v>
      </c>
      <c r="C49" s="11" t="str">
        <f>"619216671263"</f>
        <v>619216671263</v>
      </c>
      <c r="D49" s="9">
        <v>65.11</v>
      </c>
      <c r="E49" s="41" t="s">
        <v>419</v>
      </c>
    </row>
    <row r="50" spans="1:5" x14ac:dyDescent="0.25">
      <c r="A50" s="60" t="s">
        <v>471</v>
      </c>
      <c r="B50" s="1" t="s">
        <v>472</v>
      </c>
      <c r="C50" s="11" t="str">
        <f>"619216671264"</f>
        <v>619216671264</v>
      </c>
      <c r="D50" s="9">
        <v>64.89</v>
      </c>
      <c r="E50" s="41" t="s">
        <v>419</v>
      </c>
    </row>
    <row r="51" spans="1:5" x14ac:dyDescent="0.25">
      <c r="A51" s="60" t="s">
        <v>471</v>
      </c>
      <c r="B51" s="1" t="s">
        <v>472</v>
      </c>
      <c r="C51" s="11" t="str">
        <f>"619216671266"</f>
        <v>619216671266</v>
      </c>
      <c r="D51" s="9">
        <v>64.89</v>
      </c>
      <c r="E51" s="41" t="s">
        <v>419</v>
      </c>
    </row>
    <row r="52" spans="1:5" x14ac:dyDescent="0.25">
      <c r="A52" s="60" t="s">
        <v>471</v>
      </c>
      <c r="B52" s="1" t="s">
        <v>472</v>
      </c>
      <c r="C52" s="11" t="str">
        <f>"619216671268"</f>
        <v>619216671268</v>
      </c>
      <c r="D52" s="9">
        <v>64.67</v>
      </c>
      <c r="E52" s="41" t="s">
        <v>419</v>
      </c>
    </row>
    <row r="53" spans="1:5" x14ac:dyDescent="0.25">
      <c r="A53" s="60" t="s">
        <v>471</v>
      </c>
      <c r="B53" s="1" t="s">
        <v>472</v>
      </c>
      <c r="C53" s="11" t="str">
        <f>"619216671270"</f>
        <v>619216671270</v>
      </c>
      <c r="D53" s="9">
        <v>64.67</v>
      </c>
      <c r="E53" s="41" t="s">
        <v>419</v>
      </c>
    </row>
    <row r="54" spans="1:5" x14ac:dyDescent="0.25">
      <c r="A54" s="60" t="s">
        <v>471</v>
      </c>
      <c r="B54" s="1" t="s">
        <v>472</v>
      </c>
      <c r="C54" s="2" t="str">
        <f>"619216671271"</f>
        <v>619216671271</v>
      </c>
      <c r="D54" s="9">
        <v>64.33</v>
      </c>
      <c r="E54" s="66" t="s">
        <v>420</v>
      </c>
    </row>
    <row r="55" spans="1:5" x14ac:dyDescent="0.25">
      <c r="A55" s="60" t="s">
        <v>471</v>
      </c>
      <c r="B55" s="1" t="s">
        <v>472</v>
      </c>
      <c r="C55" s="2" t="str">
        <f>"619216671273"</f>
        <v>619216671273</v>
      </c>
      <c r="D55" s="9">
        <v>63.44</v>
      </c>
      <c r="E55" s="66" t="s">
        <v>420</v>
      </c>
    </row>
    <row r="56" spans="1:5" x14ac:dyDescent="0.25">
      <c r="A56" s="60" t="s">
        <v>471</v>
      </c>
      <c r="B56" s="1" t="s">
        <v>472</v>
      </c>
      <c r="C56" s="2" t="str">
        <f>"619216671275"</f>
        <v>619216671275</v>
      </c>
      <c r="D56" s="9">
        <v>63.44</v>
      </c>
      <c r="E56" s="66" t="s">
        <v>420</v>
      </c>
    </row>
    <row r="57" spans="1:5" x14ac:dyDescent="0.25">
      <c r="A57" s="60" t="s">
        <v>471</v>
      </c>
      <c r="B57" s="1" t="s">
        <v>472</v>
      </c>
      <c r="C57" s="2" t="str">
        <f>"619216671277"</f>
        <v>619216671277</v>
      </c>
      <c r="D57" s="9">
        <v>63.11</v>
      </c>
      <c r="E57" s="66" t="s">
        <v>420</v>
      </c>
    </row>
    <row r="58" spans="1:5" x14ac:dyDescent="0.25">
      <c r="A58" s="60" t="s">
        <v>471</v>
      </c>
      <c r="B58" s="1" t="s">
        <v>472</v>
      </c>
      <c r="C58" s="2" t="str">
        <f>"619216671279"</f>
        <v>619216671279</v>
      </c>
      <c r="D58" s="9">
        <v>62.33</v>
      </c>
      <c r="E58" s="66" t="s">
        <v>420</v>
      </c>
    </row>
    <row r="59" spans="1:5" x14ac:dyDescent="0.25">
      <c r="A59" s="60" t="s">
        <v>471</v>
      </c>
      <c r="B59" s="1" t="s">
        <v>472</v>
      </c>
      <c r="C59" s="2" t="str">
        <f>"619216671281"</f>
        <v>619216671281</v>
      </c>
      <c r="D59" s="9">
        <v>62.11</v>
      </c>
      <c r="E59" s="66" t="s">
        <v>420</v>
      </c>
    </row>
    <row r="60" spans="1:5" x14ac:dyDescent="0.25">
      <c r="A60" s="60" t="s">
        <v>471</v>
      </c>
      <c r="B60" s="1" t="s">
        <v>472</v>
      </c>
      <c r="C60" s="2" t="str">
        <f>"619216671282"</f>
        <v>619216671282</v>
      </c>
      <c r="D60" s="9">
        <v>62</v>
      </c>
      <c r="E60" s="66" t="s">
        <v>420</v>
      </c>
    </row>
    <row r="61" spans="1:5" x14ac:dyDescent="0.25">
      <c r="A61" s="60" t="s">
        <v>471</v>
      </c>
      <c r="B61" s="1" t="s">
        <v>472</v>
      </c>
      <c r="C61" s="2" t="str">
        <f>"619216671283"</f>
        <v>619216671283</v>
      </c>
      <c r="D61" s="9">
        <v>60.89</v>
      </c>
      <c r="E61" s="66" t="s">
        <v>420</v>
      </c>
    </row>
    <row r="62" spans="1:5" x14ac:dyDescent="0.25">
      <c r="A62" s="60" t="s">
        <v>471</v>
      </c>
      <c r="B62" s="1" t="s">
        <v>472</v>
      </c>
      <c r="C62" s="2" t="str">
        <f>"619216671284"</f>
        <v>619216671284</v>
      </c>
      <c r="D62" s="9">
        <v>60.78</v>
      </c>
      <c r="E62" s="66" t="s">
        <v>420</v>
      </c>
    </row>
    <row r="63" spans="1:5" x14ac:dyDescent="0.25">
      <c r="A63" s="60" t="s">
        <v>471</v>
      </c>
      <c r="B63" s="1" t="s">
        <v>472</v>
      </c>
      <c r="C63" s="2" t="str">
        <f>"619216671285"</f>
        <v>619216671285</v>
      </c>
      <c r="D63" s="9">
        <v>60.11</v>
      </c>
      <c r="E63" s="66" t="s">
        <v>420</v>
      </c>
    </row>
    <row r="64" spans="1:5" x14ac:dyDescent="0.25">
      <c r="A64" s="60" t="s">
        <v>471</v>
      </c>
      <c r="B64" s="1" t="s">
        <v>472</v>
      </c>
      <c r="C64" s="2" t="str">
        <f>"619216671286"</f>
        <v>619216671286</v>
      </c>
      <c r="D64" s="9">
        <v>60.11</v>
      </c>
      <c r="E64" s="66" t="s">
        <v>420</v>
      </c>
    </row>
    <row r="65" spans="1:5" x14ac:dyDescent="0.25">
      <c r="A65" s="60" t="s">
        <v>471</v>
      </c>
      <c r="B65" s="1" t="s">
        <v>472</v>
      </c>
      <c r="C65" s="2" t="str">
        <f>"619216671287"</f>
        <v>619216671287</v>
      </c>
      <c r="D65" s="9">
        <v>59.89</v>
      </c>
      <c r="E65" s="66" t="s">
        <v>420</v>
      </c>
    </row>
    <row r="66" spans="1:5" x14ac:dyDescent="0.25">
      <c r="A66" s="60" t="s">
        <v>471</v>
      </c>
      <c r="B66" s="1" t="s">
        <v>472</v>
      </c>
      <c r="C66" s="2" t="str">
        <f>"619216671288"</f>
        <v>619216671288</v>
      </c>
      <c r="D66" s="9">
        <v>59.56</v>
      </c>
      <c r="E66" s="66" t="s">
        <v>420</v>
      </c>
    </row>
    <row r="67" spans="1:5" x14ac:dyDescent="0.25">
      <c r="A67" s="60" t="s">
        <v>471</v>
      </c>
      <c r="B67" s="1" t="s">
        <v>472</v>
      </c>
      <c r="C67" s="2" t="str">
        <f>"619216671290"</f>
        <v>619216671290</v>
      </c>
      <c r="D67" s="9">
        <v>59.56</v>
      </c>
      <c r="E67" s="66" t="s">
        <v>420</v>
      </c>
    </row>
    <row r="68" spans="1:5" x14ac:dyDescent="0.25">
      <c r="A68" s="60" t="s">
        <v>471</v>
      </c>
      <c r="B68" s="1" t="s">
        <v>472</v>
      </c>
      <c r="C68" s="2" t="str">
        <f>"619216671292"</f>
        <v>619216671292</v>
      </c>
      <c r="D68" s="9">
        <v>58.22</v>
      </c>
      <c r="E68" s="66" t="s">
        <v>420</v>
      </c>
    </row>
    <row r="69" spans="1:5" x14ac:dyDescent="0.25">
      <c r="A69" s="60" t="s">
        <v>471</v>
      </c>
      <c r="B69" s="1" t="s">
        <v>472</v>
      </c>
      <c r="C69" s="2" t="str">
        <f>"619216671241"</f>
        <v>619216671241</v>
      </c>
      <c r="D69" s="9">
        <v>57.89</v>
      </c>
      <c r="E69" s="66" t="s">
        <v>420</v>
      </c>
    </row>
    <row r="70" spans="1:5" x14ac:dyDescent="0.25">
      <c r="A70" s="60" t="s">
        <v>471</v>
      </c>
      <c r="B70" s="1" t="s">
        <v>472</v>
      </c>
      <c r="C70" s="2" t="str">
        <f>"619216671243"</f>
        <v>619216671243</v>
      </c>
      <c r="D70" s="9">
        <v>57.67</v>
      </c>
      <c r="E70" s="66" t="s">
        <v>420</v>
      </c>
    </row>
    <row r="71" spans="1:5" x14ac:dyDescent="0.25">
      <c r="A71" s="60" t="s">
        <v>471</v>
      </c>
      <c r="B71" s="1" t="s">
        <v>472</v>
      </c>
      <c r="C71" s="2" t="str">
        <f>"619216371244"</f>
        <v>619216371244</v>
      </c>
      <c r="D71" s="9">
        <v>57</v>
      </c>
      <c r="E71" s="66" t="s">
        <v>420</v>
      </c>
    </row>
    <row r="72" spans="1:5" x14ac:dyDescent="0.25">
      <c r="A72" s="60" t="s">
        <v>471</v>
      </c>
      <c r="B72" s="1" t="s">
        <v>472</v>
      </c>
      <c r="C72" s="2" t="str">
        <f>"619216671247"</f>
        <v>619216671247</v>
      </c>
      <c r="D72" s="9">
        <v>56.89</v>
      </c>
      <c r="E72" s="66" t="s">
        <v>420</v>
      </c>
    </row>
    <row r="73" spans="1:5" x14ac:dyDescent="0.25">
      <c r="A73" s="60" t="s">
        <v>471</v>
      </c>
      <c r="B73" s="1" t="s">
        <v>472</v>
      </c>
      <c r="C73" s="2" t="str">
        <f>"619216671249"</f>
        <v>619216671249</v>
      </c>
      <c r="D73" s="9">
        <v>56.89</v>
      </c>
      <c r="E73" s="66" t="s">
        <v>420</v>
      </c>
    </row>
    <row r="74" spans="1:5" x14ac:dyDescent="0.25">
      <c r="A74" s="60" t="s">
        <v>471</v>
      </c>
      <c r="B74" s="1" t="s">
        <v>472</v>
      </c>
      <c r="C74" s="2" t="str">
        <f>"619216671251"</f>
        <v>619216671251</v>
      </c>
      <c r="D74" s="9">
        <v>56.33</v>
      </c>
      <c r="E74" s="66" t="s">
        <v>420</v>
      </c>
    </row>
    <row r="75" spans="1:5" x14ac:dyDescent="0.25">
      <c r="A75" s="60" t="s">
        <v>471</v>
      </c>
      <c r="B75" s="1" t="s">
        <v>472</v>
      </c>
      <c r="C75" s="2" t="str">
        <f>"619216371253"</f>
        <v>619216371253</v>
      </c>
      <c r="D75" s="9">
        <v>56.33</v>
      </c>
      <c r="E75" s="66" t="s">
        <v>420</v>
      </c>
    </row>
    <row r="76" spans="1:5" x14ac:dyDescent="0.25">
      <c r="A76" s="60" t="s">
        <v>471</v>
      </c>
      <c r="B76" s="1" t="s">
        <v>472</v>
      </c>
      <c r="C76" s="2" t="str">
        <f>"619216671255"</f>
        <v>619216671255</v>
      </c>
      <c r="D76" s="9">
        <v>55.67</v>
      </c>
      <c r="E76" s="66" t="s">
        <v>420</v>
      </c>
    </row>
    <row r="77" spans="1:5" x14ac:dyDescent="0.25">
      <c r="A77" s="60" t="s">
        <v>471</v>
      </c>
      <c r="B77" s="1" t="s">
        <v>472</v>
      </c>
      <c r="C77" s="2" t="str">
        <f>"619216671257"</f>
        <v>619216671257</v>
      </c>
      <c r="D77" s="9">
        <v>55</v>
      </c>
      <c r="E77" s="66" t="s">
        <v>420</v>
      </c>
    </row>
    <row r="78" spans="1:5" x14ac:dyDescent="0.25">
      <c r="A78" s="60" t="s">
        <v>471</v>
      </c>
      <c r="B78" s="1" t="s">
        <v>472</v>
      </c>
      <c r="C78" s="2" t="str">
        <f>"619216671261"</f>
        <v>619216671261</v>
      </c>
      <c r="D78" s="9">
        <v>55</v>
      </c>
      <c r="E78" s="66" t="s">
        <v>420</v>
      </c>
    </row>
    <row r="79" spans="1:5" x14ac:dyDescent="0.25">
      <c r="A79" s="60" t="s">
        <v>471</v>
      </c>
      <c r="B79" s="1" t="s">
        <v>472</v>
      </c>
      <c r="C79" s="2" t="str">
        <f>"619216671262"</f>
        <v>619216671262</v>
      </c>
      <c r="D79" s="9">
        <v>55</v>
      </c>
      <c r="E79" s="66" t="s">
        <v>420</v>
      </c>
    </row>
    <row r="80" spans="1:5" x14ac:dyDescent="0.25">
      <c r="A80" s="60" t="s">
        <v>471</v>
      </c>
      <c r="B80" s="1" t="s">
        <v>472</v>
      </c>
      <c r="C80" s="2" t="str">
        <f>"619216671265"</f>
        <v>619216671265</v>
      </c>
      <c r="D80" s="9">
        <v>54.67</v>
      </c>
      <c r="E80" s="66" t="s">
        <v>420</v>
      </c>
    </row>
    <row r="81" spans="1:5" x14ac:dyDescent="0.25">
      <c r="A81" s="60" t="s">
        <v>471</v>
      </c>
      <c r="B81" s="1" t="s">
        <v>472</v>
      </c>
      <c r="C81" s="2" t="str">
        <f>"619216371267"</f>
        <v>619216371267</v>
      </c>
      <c r="D81" s="9">
        <v>54</v>
      </c>
      <c r="E81" s="66" t="s">
        <v>420</v>
      </c>
    </row>
    <row r="82" spans="1:5" x14ac:dyDescent="0.25">
      <c r="A82" s="60" t="s">
        <v>471</v>
      </c>
      <c r="B82" s="1" t="s">
        <v>472</v>
      </c>
      <c r="C82" s="2" t="str">
        <f>"619216671269"</f>
        <v>619216671269</v>
      </c>
      <c r="D82" s="9">
        <v>53.89</v>
      </c>
      <c r="E82" s="66" t="s">
        <v>420</v>
      </c>
    </row>
    <row r="83" spans="1:5" x14ac:dyDescent="0.25">
      <c r="A83" s="60" t="s">
        <v>471</v>
      </c>
      <c r="B83" s="1" t="s">
        <v>472</v>
      </c>
      <c r="C83" s="2" t="str">
        <f>"619216671272"</f>
        <v>619216671272</v>
      </c>
      <c r="D83" s="9">
        <v>53.78</v>
      </c>
      <c r="E83" s="66" t="s">
        <v>420</v>
      </c>
    </row>
    <row r="84" spans="1:5" x14ac:dyDescent="0.25">
      <c r="A84" s="60" t="s">
        <v>471</v>
      </c>
      <c r="B84" s="1" t="s">
        <v>472</v>
      </c>
      <c r="C84" s="2" t="str">
        <f>"619216671274"</f>
        <v>619216671274</v>
      </c>
      <c r="D84" s="9">
        <v>53.56</v>
      </c>
      <c r="E84" s="66" t="s">
        <v>420</v>
      </c>
    </row>
    <row r="85" spans="1:5" x14ac:dyDescent="0.25">
      <c r="A85" s="60" t="s">
        <v>471</v>
      </c>
      <c r="B85" s="1" t="s">
        <v>472</v>
      </c>
      <c r="C85" s="2" t="str">
        <f>"619216671276"</f>
        <v>619216671276</v>
      </c>
      <c r="D85" s="9">
        <v>53</v>
      </c>
      <c r="E85" s="66" t="s">
        <v>420</v>
      </c>
    </row>
    <row r="86" spans="1:5" x14ac:dyDescent="0.25">
      <c r="A86" s="60" t="s">
        <v>471</v>
      </c>
      <c r="B86" s="1" t="s">
        <v>472</v>
      </c>
      <c r="C86" s="2" t="str">
        <f>"619216671278"</f>
        <v>619216671278</v>
      </c>
      <c r="D86" s="9">
        <v>52.89</v>
      </c>
      <c r="E86" s="66" t="s">
        <v>420</v>
      </c>
    </row>
    <row r="87" spans="1:5" x14ac:dyDescent="0.25">
      <c r="A87" s="60" t="s">
        <v>471</v>
      </c>
      <c r="B87" s="1" t="s">
        <v>472</v>
      </c>
      <c r="C87" s="2" t="str">
        <f>"619216671280"</f>
        <v>619216671280</v>
      </c>
      <c r="D87" s="9">
        <v>52.44</v>
      </c>
      <c r="E87" s="66" t="s">
        <v>420</v>
      </c>
    </row>
    <row r="88" spans="1:5" x14ac:dyDescent="0.25">
      <c r="A88" s="60" t="s">
        <v>471</v>
      </c>
      <c r="B88" s="1" t="s">
        <v>472</v>
      </c>
      <c r="C88" s="2" t="str">
        <f>"619216671289"</f>
        <v>619216671289</v>
      </c>
      <c r="D88" s="9">
        <v>52.11</v>
      </c>
      <c r="E88" s="66" t="s">
        <v>420</v>
      </c>
    </row>
    <row r="89" spans="1:5" x14ac:dyDescent="0.25">
      <c r="A89" s="60" t="s">
        <v>471</v>
      </c>
      <c r="B89" s="1" t="s">
        <v>472</v>
      </c>
      <c r="C89" s="2" t="str">
        <f>"619216671291"</f>
        <v>619216671291</v>
      </c>
      <c r="D89" s="9">
        <v>52</v>
      </c>
      <c r="E89" s="66" t="s">
        <v>420</v>
      </c>
    </row>
    <row r="90" spans="1:5" x14ac:dyDescent="0.25">
      <c r="A90" s="60" t="s">
        <v>471</v>
      </c>
      <c r="B90" s="1" t="s">
        <v>472</v>
      </c>
      <c r="C90" s="2" t="str">
        <f>"619216671293"</f>
        <v>619216671293</v>
      </c>
      <c r="D90" s="9">
        <v>51.67</v>
      </c>
      <c r="E90" s="66" t="s">
        <v>420</v>
      </c>
    </row>
    <row r="91" spans="1:5" x14ac:dyDescent="0.25">
      <c r="A91" s="60" t="s">
        <v>471</v>
      </c>
      <c r="B91" s="1" t="s">
        <v>472</v>
      </c>
      <c r="C91" s="2" t="str">
        <f>"619216671294"</f>
        <v>619216671294</v>
      </c>
      <c r="D91" s="9">
        <v>51.33</v>
      </c>
      <c r="E91" s="66" t="s">
        <v>420</v>
      </c>
    </row>
    <row r="92" spans="1:5" x14ac:dyDescent="0.25">
      <c r="A92" s="60" t="s">
        <v>471</v>
      </c>
      <c r="B92" s="1" t="s">
        <v>472</v>
      </c>
      <c r="C92" s="2" t="str">
        <f>"619216671295"</f>
        <v>619216671295</v>
      </c>
      <c r="D92" s="9">
        <v>51.11</v>
      </c>
      <c r="E92" s="66" t="s">
        <v>420</v>
      </c>
    </row>
    <row r="93" spans="1:5" x14ac:dyDescent="0.25">
      <c r="A93" s="60" t="s">
        <v>471</v>
      </c>
      <c r="B93" s="1" t="s">
        <v>472</v>
      </c>
      <c r="C93" s="2" t="str">
        <f>"619216671296"</f>
        <v>619216671296</v>
      </c>
      <c r="D93" s="9">
        <v>50.89</v>
      </c>
      <c r="E93" s="66" t="s">
        <v>420</v>
      </c>
    </row>
    <row r="94" spans="1:5" x14ac:dyDescent="0.25">
      <c r="A94" s="60" t="s">
        <v>471</v>
      </c>
      <c r="B94" s="1" t="s">
        <v>472</v>
      </c>
      <c r="C94" s="2" t="str">
        <f>"619216671297"</f>
        <v>619216671297</v>
      </c>
      <c r="D94" s="9">
        <v>50.22</v>
      </c>
      <c r="E94" s="66" t="s">
        <v>420</v>
      </c>
    </row>
    <row r="95" spans="1:5" x14ac:dyDescent="0.25">
      <c r="A95" s="60" t="s">
        <v>471</v>
      </c>
      <c r="B95" s="1" t="s">
        <v>472</v>
      </c>
      <c r="C95" s="2" t="str">
        <f>"619216671298"</f>
        <v>619216671298</v>
      </c>
      <c r="D95" s="9">
        <v>49.33</v>
      </c>
      <c r="E95" s="66" t="s">
        <v>420</v>
      </c>
    </row>
    <row r="96" spans="1:5" ht="15.75" thickBot="1" x14ac:dyDescent="0.3">
      <c r="A96" s="164" t="s">
        <v>471</v>
      </c>
      <c r="B96" s="161" t="s">
        <v>472</v>
      </c>
      <c r="C96" s="179" t="str">
        <f>"619216671299"</f>
        <v>619216671299</v>
      </c>
      <c r="D96" s="292">
        <v>44.33</v>
      </c>
      <c r="E96" s="119" t="s">
        <v>420</v>
      </c>
    </row>
    <row r="97" spans="1:6" x14ac:dyDescent="0.25">
      <c r="A97" s="58" t="s">
        <v>630</v>
      </c>
      <c r="B97" s="293" t="s">
        <v>434</v>
      </c>
      <c r="C97" s="49" t="str">
        <f>"619216671485"</f>
        <v>619216671485</v>
      </c>
      <c r="D97" s="98">
        <v>63.25</v>
      </c>
      <c r="E97" s="294" t="s">
        <v>419</v>
      </c>
    </row>
    <row r="98" spans="1:6" ht="15.75" thickBot="1" x14ac:dyDescent="0.3">
      <c r="A98" s="61" t="s">
        <v>630</v>
      </c>
      <c r="B98" s="295" t="s">
        <v>434</v>
      </c>
      <c r="C98" s="51" t="str">
        <f>"619216671484"</f>
        <v>619216671484</v>
      </c>
      <c r="D98" s="97">
        <v>63.88</v>
      </c>
      <c r="E98" s="296" t="s">
        <v>419</v>
      </c>
    </row>
    <row r="99" spans="1:6" x14ac:dyDescent="0.25">
      <c r="A99" s="5" t="s">
        <v>742</v>
      </c>
      <c r="B99" s="256" t="s">
        <v>434</v>
      </c>
      <c r="C99" s="2" t="str">
        <f>"619217671996"</f>
        <v>619217671996</v>
      </c>
      <c r="D99" s="2">
        <v>59.78</v>
      </c>
      <c r="E99" s="225" t="s">
        <v>419</v>
      </c>
    </row>
    <row r="100" spans="1:6" x14ac:dyDescent="0.25">
      <c r="A100" s="385" t="s">
        <v>742</v>
      </c>
      <c r="B100" s="256" t="s">
        <v>434</v>
      </c>
      <c r="C100" s="2" t="str">
        <f>"619217671998"</f>
        <v>619217671998</v>
      </c>
      <c r="D100" s="26">
        <v>57.33</v>
      </c>
      <c r="E100" s="225" t="s">
        <v>419</v>
      </c>
    </row>
    <row r="101" spans="1:6" x14ac:dyDescent="0.25">
      <c r="A101" s="5" t="s">
        <v>742</v>
      </c>
      <c r="B101" s="256" t="s">
        <v>434</v>
      </c>
      <c r="C101" s="2" t="str">
        <f>"619217671997"</f>
        <v>619217671997</v>
      </c>
      <c r="D101" s="2">
        <v>56.44</v>
      </c>
      <c r="E101" s="225" t="s">
        <v>419</v>
      </c>
    </row>
    <row r="102" spans="1:6" x14ac:dyDescent="0.25">
      <c r="A102" s="385" t="s">
        <v>908</v>
      </c>
      <c r="B102" s="1" t="s">
        <v>472</v>
      </c>
      <c r="C102" s="2" t="str">
        <f>"619217672699"</f>
        <v>619217672699</v>
      </c>
      <c r="D102" s="2">
        <v>53.78</v>
      </c>
      <c r="E102" s="225" t="s">
        <v>419</v>
      </c>
      <c r="F102" s="2"/>
    </row>
    <row r="103" spans="1:6" x14ac:dyDescent="0.25">
      <c r="A103" s="385" t="s">
        <v>908</v>
      </c>
      <c r="B103" s="1" t="s">
        <v>472</v>
      </c>
      <c r="C103" s="2" t="str">
        <f>"619217672698"</f>
        <v>619217672698</v>
      </c>
      <c r="D103" s="2">
        <v>54.56</v>
      </c>
      <c r="E103" s="225" t="s">
        <v>419</v>
      </c>
      <c r="F103" s="2"/>
    </row>
    <row r="104" spans="1:6" x14ac:dyDescent="0.25">
      <c r="A104" s="385" t="s">
        <v>908</v>
      </c>
      <c r="B104" s="1" t="s">
        <v>472</v>
      </c>
      <c r="C104" s="2" t="str">
        <f>"619217672697"</f>
        <v>619217672697</v>
      </c>
      <c r="D104" s="2">
        <v>54.67</v>
      </c>
      <c r="E104" s="225" t="s">
        <v>419</v>
      </c>
      <c r="F104" s="2"/>
    </row>
    <row r="105" spans="1:6" x14ac:dyDescent="0.25">
      <c r="A105" s="385" t="s">
        <v>908</v>
      </c>
      <c r="B105" s="1" t="s">
        <v>472</v>
      </c>
      <c r="C105" s="2" t="str">
        <f>"619217672696"</f>
        <v>619217672696</v>
      </c>
      <c r="D105" s="2">
        <v>55.22</v>
      </c>
      <c r="E105" s="225" t="s">
        <v>419</v>
      </c>
      <c r="F105" s="2"/>
    </row>
    <row r="106" spans="1:6" x14ac:dyDescent="0.25">
      <c r="A106" s="385" t="s">
        <v>908</v>
      </c>
      <c r="B106" s="1" t="s">
        <v>472</v>
      </c>
      <c r="C106" s="2" t="str">
        <f>"619217672695"</f>
        <v>619217672695</v>
      </c>
      <c r="D106" s="2">
        <v>55.33</v>
      </c>
      <c r="E106" s="225" t="s">
        <v>419</v>
      </c>
      <c r="F106" s="2"/>
    </row>
    <row r="107" spans="1:6" x14ac:dyDescent="0.25">
      <c r="A107" s="385" t="s">
        <v>908</v>
      </c>
      <c r="B107" s="1" t="s">
        <v>472</v>
      </c>
      <c r="C107" s="2" t="str">
        <f>"619217672694"</f>
        <v>619217672694</v>
      </c>
      <c r="D107" s="2">
        <v>55.56</v>
      </c>
      <c r="E107" s="225" t="s">
        <v>419</v>
      </c>
      <c r="F107" s="2"/>
    </row>
    <row r="108" spans="1:6" x14ac:dyDescent="0.25">
      <c r="A108" s="385" t="s">
        <v>908</v>
      </c>
      <c r="B108" s="1" t="s">
        <v>472</v>
      </c>
      <c r="C108" s="2" t="str">
        <f>"619217672693"</f>
        <v>619217672693</v>
      </c>
      <c r="D108" s="2">
        <v>55.67</v>
      </c>
      <c r="E108" s="225" t="s">
        <v>419</v>
      </c>
      <c r="F108" s="2"/>
    </row>
    <row r="109" spans="1:6" x14ac:dyDescent="0.25">
      <c r="A109" s="385" t="s">
        <v>908</v>
      </c>
      <c r="B109" s="1" t="s">
        <v>472</v>
      </c>
      <c r="C109" s="2" t="str">
        <f>"619217672692"</f>
        <v>619217672692</v>
      </c>
      <c r="D109" s="2">
        <v>55.78</v>
      </c>
      <c r="E109" s="225" t="s">
        <v>419</v>
      </c>
      <c r="F109" s="2"/>
    </row>
    <row r="110" spans="1:6" x14ac:dyDescent="0.25">
      <c r="A110" s="385" t="s">
        <v>908</v>
      </c>
      <c r="B110" s="1" t="s">
        <v>472</v>
      </c>
      <c r="C110" s="2" t="str">
        <f>"619217672691"</f>
        <v>619217672691</v>
      </c>
      <c r="D110" s="2">
        <v>55.78</v>
      </c>
      <c r="E110" s="225" t="s">
        <v>419</v>
      </c>
      <c r="F110" s="2"/>
    </row>
    <row r="111" spans="1:6" x14ac:dyDescent="0.25">
      <c r="A111" s="385" t="s">
        <v>908</v>
      </c>
      <c r="B111" s="1" t="s">
        <v>472</v>
      </c>
      <c r="C111" s="2" t="str">
        <f>"619217672690"</f>
        <v>619217672690</v>
      </c>
      <c r="D111" s="2">
        <v>56.22</v>
      </c>
      <c r="E111" s="225" t="s">
        <v>419</v>
      </c>
      <c r="F111" s="2"/>
    </row>
    <row r="112" spans="1:6" x14ac:dyDescent="0.25">
      <c r="A112" s="385" t="s">
        <v>908</v>
      </c>
      <c r="B112" s="1" t="s">
        <v>472</v>
      </c>
      <c r="C112" s="2" t="str">
        <f>"619217672689"</f>
        <v>619217672689</v>
      </c>
      <c r="D112" s="2">
        <v>56.56</v>
      </c>
      <c r="E112" s="225" t="s">
        <v>419</v>
      </c>
      <c r="F112" s="2"/>
    </row>
    <row r="113" spans="1:6" x14ac:dyDescent="0.25">
      <c r="A113" s="385" t="s">
        <v>908</v>
      </c>
      <c r="B113" s="1" t="s">
        <v>472</v>
      </c>
      <c r="C113" s="2" t="str">
        <f>"619217672688"</f>
        <v>619217672688</v>
      </c>
      <c r="D113" s="2">
        <v>56.56</v>
      </c>
      <c r="E113" s="225" t="s">
        <v>419</v>
      </c>
      <c r="F113" s="2"/>
    </row>
    <row r="114" spans="1:6" x14ac:dyDescent="0.25">
      <c r="A114" s="385" t="s">
        <v>908</v>
      </c>
      <c r="B114" s="1" t="s">
        <v>472</v>
      </c>
      <c r="C114" s="2" t="str">
        <f>"619217672687"</f>
        <v>619217672687</v>
      </c>
      <c r="D114" s="2">
        <v>56.78</v>
      </c>
      <c r="E114" s="225" t="s">
        <v>419</v>
      </c>
      <c r="F114" s="2"/>
    </row>
    <row r="115" spans="1:6" x14ac:dyDescent="0.25">
      <c r="A115" s="385" t="s">
        <v>908</v>
      </c>
      <c r="B115" s="1" t="s">
        <v>472</v>
      </c>
      <c r="C115" s="2" t="str">
        <f>"619217672686"</f>
        <v>619217672686</v>
      </c>
      <c r="D115" s="2">
        <v>57.22</v>
      </c>
      <c r="E115" s="225" t="s">
        <v>419</v>
      </c>
      <c r="F115" s="2"/>
    </row>
    <row r="116" spans="1:6" x14ac:dyDescent="0.25">
      <c r="A116" s="385" t="s">
        <v>908</v>
      </c>
      <c r="B116" s="1" t="s">
        <v>472</v>
      </c>
      <c r="C116" s="2" t="str">
        <f>"619217672685"</f>
        <v>619217672685</v>
      </c>
      <c r="D116" s="2">
        <v>57.33</v>
      </c>
      <c r="E116" s="225" t="s">
        <v>419</v>
      </c>
      <c r="F116" s="2"/>
    </row>
    <row r="117" spans="1:6" x14ac:dyDescent="0.25">
      <c r="A117" s="385" t="s">
        <v>908</v>
      </c>
      <c r="B117" s="1" t="s">
        <v>472</v>
      </c>
      <c r="C117" s="2" t="str">
        <f>"619217672684"</f>
        <v>619217672684</v>
      </c>
      <c r="D117" s="2">
        <v>58.11</v>
      </c>
      <c r="E117" s="225" t="s">
        <v>419</v>
      </c>
      <c r="F117" s="2"/>
    </row>
    <row r="118" spans="1:6" x14ac:dyDescent="0.25">
      <c r="A118" s="385" t="s">
        <v>908</v>
      </c>
      <c r="B118" s="1" t="s">
        <v>472</v>
      </c>
      <c r="C118" s="2" t="str">
        <f>"619217672683"</f>
        <v>619217672683</v>
      </c>
      <c r="D118" s="2">
        <v>59</v>
      </c>
      <c r="E118" s="225" t="s">
        <v>419</v>
      </c>
      <c r="F118" s="2"/>
    </row>
    <row r="119" spans="1:6" x14ac:dyDescent="0.25">
      <c r="A119" s="385" t="s">
        <v>908</v>
      </c>
      <c r="B119" s="1" t="s">
        <v>472</v>
      </c>
      <c r="C119" s="2" t="str">
        <f>"619217672682"</f>
        <v>619217672682</v>
      </c>
      <c r="D119" s="2">
        <v>59</v>
      </c>
      <c r="E119" s="225" t="s">
        <v>419</v>
      </c>
      <c r="F119" s="2"/>
    </row>
    <row r="120" spans="1:6" x14ac:dyDescent="0.25">
      <c r="A120" s="385" t="s">
        <v>908</v>
      </c>
      <c r="B120" s="1" t="s">
        <v>472</v>
      </c>
      <c r="C120" s="2" t="str">
        <f>"619217672681"</f>
        <v>619217672681</v>
      </c>
      <c r="D120" s="2">
        <v>60.33</v>
      </c>
      <c r="E120" s="225" t="s">
        <v>419</v>
      </c>
      <c r="F120" s="2"/>
    </row>
    <row r="121" spans="1:6" x14ac:dyDescent="0.25">
      <c r="A121" s="385" t="s">
        <v>908</v>
      </c>
      <c r="B121" s="1" t="s">
        <v>472</v>
      </c>
      <c r="C121" s="2" t="str">
        <f>"619217672680"</f>
        <v>619217672680</v>
      </c>
      <c r="D121" s="2">
        <v>60.67</v>
      </c>
      <c r="E121" s="225" t="s">
        <v>419</v>
      </c>
      <c r="F121" s="2"/>
    </row>
    <row r="122" spans="1:6" x14ac:dyDescent="0.25">
      <c r="A122" s="385" t="s">
        <v>908</v>
      </c>
      <c r="B122" s="1" t="s">
        <v>472</v>
      </c>
      <c r="C122" s="2" t="str">
        <f>"619217672679"</f>
        <v>619217672679</v>
      </c>
      <c r="D122" s="2">
        <v>61.22</v>
      </c>
      <c r="E122" s="225" t="s">
        <v>419</v>
      </c>
      <c r="F122" s="2"/>
    </row>
    <row r="123" spans="1:6" x14ac:dyDescent="0.25">
      <c r="A123" s="385" t="s">
        <v>908</v>
      </c>
      <c r="B123" s="1" t="s">
        <v>472</v>
      </c>
      <c r="C123" s="2" t="str">
        <f>"619217672678"</f>
        <v>619217672678</v>
      </c>
      <c r="D123" s="2">
        <v>61.78</v>
      </c>
      <c r="E123" s="225" t="s">
        <v>419</v>
      </c>
      <c r="F123" s="2"/>
    </row>
    <row r="124" spans="1:6" x14ac:dyDescent="0.25">
      <c r="A124" s="385" t="s">
        <v>908</v>
      </c>
      <c r="B124" s="1" t="s">
        <v>472</v>
      </c>
      <c r="C124" s="2" t="str">
        <f>"619217672677"</f>
        <v>619217672677</v>
      </c>
      <c r="D124" s="2">
        <v>62</v>
      </c>
      <c r="E124" s="225" t="s">
        <v>419</v>
      </c>
      <c r="F124" s="2"/>
    </row>
    <row r="125" spans="1:6" x14ac:dyDescent="0.25">
      <c r="A125" s="385" t="s">
        <v>908</v>
      </c>
      <c r="B125" s="1" t="s">
        <v>472</v>
      </c>
      <c r="C125" s="2" t="str">
        <f>"619217672676"</f>
        <v>619217672676</v>
      </c>
      <c r="D125" s="2">
        <v>62.44</v>
      </c>
      <c r="E125" s="225" t="s">
        <v>419</v>
      </c>
      <c r="F125" s="2"/>
    </row>
    <row r="126" spans="1:6" x14ac:dyDescent="0.25">
      <c r="A126" s="385" t="s">
        <v>908</v>
      </c>
      <c r="B126" s="1" t="s">
        <v>472</v>
      </c>
      <c r="C126" s="2" t="str">
        <f>"619217672675"</f>
        <v>619217672675</v>
      </c>
      <c r="D126" s="2">
        <v>62.44</v>
      </c>
      <c r="E126" s="225" t="s">
        <v>419</v>
      </c>
      <c r="F126" s="2"/>
    </row>
    <row r="127" spans="1:6" x14ac:dyDescent="0.25">
      <c r="A127" s="385" t="s">
        <v>908</v>
      </c>
      <c r="B127" s="1" t="s">
        <v>472</v>
      </c>
      <c r="C127" s="2" t="str">
        <f>"619217672674"</f>
        <v>619217672674</v>
      </c>
      <c r="D127" s="2">
        <v>62.56</v>
      </c>
      <c r="E127" s="225" t="s">
        <v>419</v>
      </c>
      <c r="F127" s="2"/>
    </row>
    <row r="128" spans="1:6" x14ac:dyDescent="0.25">
      <c r="A128" s="385" t="s">
        <v>908</v>
      </c>
      <c r="B128" s="1" t="s">
        <v>472</v>
      </c>
      <c r="C128" s="2" t="str">
        <f>"619217672673"</f>
        <v>619217672673</v>
      </c>
      <c r="D128" s="2">
        <v>64.11</v>
      </c>
      <c r="E128" s="225" t="s">
        <v>419</v>
      </c>
      <c r="F128" s="2"/>
    </row>
    <row r="129" spans="1:6" x14ac:dyDescent="0.25">
      <c r="A129" s="385" t="s">
        <v>908</v>
      </c>
      <c r="B129" s="1" t="s">
        <v>472</v>
      </c>
      <c r="C129" s="2" t="str">
        <f>"619217672672"</f>
        <v>619217672672</v>
      </c>
      <c r="D129" s="2">
        <v>65.22</v>
      </c>
      <c r="E129" s="225" t="s">
        <v>419</v>
      </c>
      <c r="F129" s="2"/>
    </row>
    <row r="130" spans="1:6" x14ac:dyDescent="0.25">
      <c r="A130" s="385" t="s">
        <v>908</v>
      </c>
      <c r="B130" s="1" t="s">
        <v>472</v>
      </c>
      <c r="C130" s="2" t="str">
        <f>"619217372671"</f>
        <v>619217372671</v>
      </c>
      <c r="D130" s="2">
        <v>65.78</v>
      </c>
      <c r="E130" s="225" t="s">
        <v>419</v>
      </c>
      <c r="F130" s="2"/>
    </row>
    <row r="131" spans="1:6" x14ac:dyDescent="0.25">
      <c r="A131" s="385" t="s">
        <v>908</v>
      </c>
      <c r="B131" s="1" t="s">
        <v>472</v>
      </c>
      <c r="C131" s="2" t="str">
        <f>"619217672670"</f>
        <v>619217672670</v>
      </c>
      <c r="D131" s="2">
        <v>68.89</v>
      </c>
      <c r="E131" s="225" t="s">
        <v>419</v>
      </c>
      <c r="F131" s="2"/>
    </row>
    <row r="132" spans="1:6" x14ac:dyDescent="0.25">
      <c r="A132" s="385" t="s">
        <v>908</v>
      </c>
      <c r="B132" s="1" t="s">
        <v>472</v>
      </c>
      <c r="C132" s="2" t="str">
        <f>"619217672669"</f>
        <v>619217672669</v>
      </c>
      <c r="D132" s="2">
        <v>68.89</v>
      </c>
      <c r="E132" s="225" t="s">
        <v>419</v>
      </c>
      <c r="F132" s="2"/>
    </row>
    <row r="133" spans="1:6" x14ac:dyDescent="0.25">
      <c r="A133" s="385" t="s">
        <v>908</v>
      </c>
      <c r="B133" s="1" t="s">
        <v>472</v>
      </c>
      <c r="C133" s="2" t="str">
        <f>"619217672668"</f>
        <v>619217672668</v>
      </c>
      <c r="D133" s="2">
        <v>69.11</v>
      </c>
      <c r="E133" s="225" t="s">
        <v>419</v>
      </c>
      <c r="F133" s="2"/>
    </row>
    <row r="134" spans="1:6" x14ac:dyDescent="0.25">
      <c r="A134" s="385" t="s">
        <v>908</v>
      </c>
      <c r="B134" s="1" t="s">
        <v>472</v>
      </c>
      <c r="C134" s="2" t="str">
        <f>"619217672667"</f>
        <v>619217672667</v>
      </c>
      <c r="D134" s="2">
        <v>69.11</v>
      </c>
      <c r="E134" s="225" t="s">
        <v>419</v>
      </c>
      <c r="F134" s="2"/>
    </row>
    <row r="135" spans="1:6" x14ac:dyDescent="0.25">
      <c r="A135" s="385" t="s">
        <v>908</v>
      </c>
      <c r="B135" s="1" t="s">
        <v>472</v>
      </c>
      <c r="C135" s="2" t="str">
        <f>"619217672666"</f>
        <v>619217672666</v>
      </c>
      <c r="D135" s="2">
        <v>70.44</v>
      </c>
      <c r="E135" s="225" t="s">
        <v>419</v>
      </c>
      <c r="F135" s="2"/>
    </row>
    <row r="136" spans="1:6" x14ac:dyDescent="0.25">
      <c r="A136" s="385" t="s">
        <v>908</v>
      </c>
      <c r="B136" s="1" t="s">
        <v>472</v>
      </c>
      <c r="C136" s="2" t="str">
        <f>"619217672665"</f>
        <v>619217672665</v>
      </c>
      <c r="D136" s="2">
        <v>71.33</v>
      </c>
      <c r="E136" s="225" t="s">
        <v>419</v>
      </c>
      <c r="F136" s="2"/>
    </row>
    <row r="137" spans="1:6" x14ac:dyDescent="0.25">
      <c r="A137" s="385" t="s">
        <v>908</v>
      </c>
      <c r="B137" s="1" t="s">
        <v>472</v>
      </c>
      <c r="C137" s="2" t="str">
        <f>"619217672664"</f>
        <v>619217672664</v>
      </c>
      <c r="D137" s="2">
        <v>72.78</v>
      </c>
      <c r="E137" s="225" t="s">
        <v>419</v>
      </c>
      <c r="F137" s="2"/>
    </row>
    <row r="138" spans="1:6" x14ac:dyDescent="0.25">
      <c r="A138" s="385" t="s">
        <v>908</v>
      </c>
      <c r="B138" s="1" t="s">
        <v>472</v>
      </c>
      <c r="C138" s="2" t="str">
        <f>"619217672709"</f>
        <v>619217672709</v>
      </c>
      <c r="D138" s="2">
        <v>43.78</v>
      </c>
      <c r="E138" s="66" t="s">
        <v>420</v>
      </c>
      <c r="F138" s="2"/>
    </row>
    <row r="139" spans="1:6" x14ac:dyDescent="0.25">
      <c r="A139" s="385" t="s">
        <v>908</v>
      </c>
      <c r="B139" s="1" t="s">
        <v>472</v>
      </c>
      <c r="C139" s="2" t="str">
        <f>"619217672708"</f>
        <v>619217672708</v>
      </c>
      <c r="D139" s="2">
        <v>45.11</v>
      </c>
      <c r="E139" s="66" t="s">
        <v>420</v>
      </c>
      <c r="F139" s="2"/>
    </row>
    <row r="140" spans="1:6" x14ac:dyDescent="0.25">
      <c r="A140" s="385" t="s">
        <v>908</v>
      </c>
      <c r="B140" s="1" t="s">
        <v>472</v>
      </c>
      <c r="C140" s="2" t="str">
        <f>"619217672707"</f>
        <v>619217672707</v>
      </c>
      <c r="D140" s="2">
        <v>50.44</v>
      </c>
      <c r="E140" s="66" t="s">
        <v>420</v>
      </c>
      <c r="F140" s="2"/>
    </row>
    <row r="141" spans="1:6" x14ac:dyDescent="0.25">
      <c r="A141" s="385" t="s">
        <v>908</v>
      </c>
      <c r="B141" s="1" t="s">
        <v>472</v>
      </c>
      <c r="C141" s="2" t="str">
        <f>"619217672706"</f>
        <v>619217672706</v>
      </c>
      <c r="D141" s="2">
        <v>50.78</v>
      </c>
      <c r="E141" s="66" t="s">
        <v>420</v>
      </c>
      <c r="F141" s="2"/>
    </row>
    <row r="142" spans="1:6" x14ac:dyDescent="0.25">
      <c r="A142" s="385" t="s">
        <v>908</v>
      </c>
      <c r="B142" s="1" t="s">
        <v>472</v>
      </c>
      <c r="C142" s="2" t="str">
        <f>"619217672705"</f>
        <v>619217672705</v>
      </c>
      <c r="D142" s="2">
        <v>51.22</v>
      </c>
      <c r="E142" s="66" t="s">
        <v>420</v>
      </c>
      <c r="F142" s="2"/>
    </row>
    <row r="143" spans="1:6" x14ac:dyDescent="0.25">
      <c r="A143" s="385" t="s">
        <v>908</v>
      </c>
      <c r="B143" s="1" t="s">
        <v>472</v>
      </c>
      <c r="C143" s="2" t="str">
        <f>"619217372704"</f>
        <v>619217372704</v>
      </c>
      <c r="D143" s="2">
        <v>51.56</v>
      </c>
      <c r="E143" s="66" t="s">
        <v>420</v>
      </c>
      <c r="F143" s="2"/>
    </row>
    <row r="144" spans="1:6" x14ac:dyDescent="0.25">
      <c r="A144" s="385" t="s">
        <v>908</v>
      </c>
      <c r="B144" s="1" t="s">
        <v>472</v>
      </c>
      <c r="C144" s="2" t="str">
        <f>"619217672703"</f>
        <v>619217672703</v>
      </c>
      <c r="D144" s="2">
        <v>52.22</v>
      </c>
      <c r="E144" s="66" t="s">
        <v>420</v>
      </c>
      <c r="F144" s="2"/>
    </row>
    <row r="145" spans="1:6" x14ac:dyDescent="0.25">
      <c r="A145" s="385" t="s">
        <v>908</v>
      </c>
      <c r="B145" s="1" t="s">
        <v>472</v>
      </c>
      <c r="C145" s="2" t="str">
        <f>"619217672702"</f>
        <v>619217672702</v>
      </c>
      <c r="D145" s="2">
        <v>52.67</v>
      </c>
      <c r="E145" s="66" t="s">
        <v>420</v>
      </c>
      <c r="F145" s="2"/>
    </row>
    <row r="146" spans="1:6" x14ac:dyDescent="0.25">
      <c r="A146" s="385" t="s">
        <v>908</v>
      </c>
      <c r="B146" s="1" t="s">
        <v>472</v>
      </c>
      <c r="C146" s="2" t="str">
        <f>"619217672701"</f>
        <v>619217672701</v>
      </c>
      <c r="D146" s="2">
        <v>53.33</v>
      </c>
      <c r="E146" s="66" t="s">
        <v>420</v>
      </c>
      <c r="F146" s="2"/>
    </row>
    <row r="147" spans="1:6" x14ac:dyDescent="0.25">
      <c r="A147" s="385" t="s">
        <v>908</v>
      </c>
      <c r="B147" s="1" t="s">
        <v>472</v>
      </c>
      <c r="C147" s="2" t="str">
        <f>"619217672700"</f>
        <v>619217672700</v>
      </c>
      <c r="D147" s="2">
        <v>53.33</v>
      </c>
      <c r="E147" s="66" t="s">
        <v>420</v>
      </c>
      <c r="F147" s="2"/>
    </row>
    <row r="148" spans="1:6" x14ac:dyDescent="0.25">
      <c r="A148" s="385" t="s">
        <v>909</v>
      </c>
      <c r="B148" s="1" t="s">
        <v>433</v>
      </c>
      <c r="C148" s="2" t="str">
        <f>"619217672728"</f>
        <v>619217672728</v>
      </c>
      <c r="D148">
        <v>58.78</v>
      </c>
      <c r="E148" s="225" t="s">
        <v>419</v>
      </c>
      <c r="F148" s="2"/>
    </row>
    <row r="149" spans="1:6" x14ac:dyDescent="0.25">
      <c r="A149" s="385" t="s">
        <v>909</v>
      </c>
      <c r="B149" s="1" t="s">
        <v>433</v>
      </c>
      <c r="C149" s="2" t="str">
        <f>"619217672727"</f>
        <v>619217672727</v>
      </c>
      <c r="D149">
        <v>59.22</v>
      </c>
      <c r="E149" s="225" t="s">
        <v>419</v>
      </c>
      <c r="F149" s="2"/>
    </row>
    <row r="150" spans="1:6" x14ac:dyDescent="0.25">
      <c r="A150" s="385" t="s">
        <v>909</v>
      </c>
      <c r="B150" s="1" t="s">
        <v>433</v>
      </c>
      <c r="C150" s="2" t="str">
        <f>"619217672726"</f>
        <v>619217672726</v>
      </c>
      <c r="D150">
        <v>59.33</v>
      </c>
      <c r="E150" s="225" t="s">
        <v>419</v>
      </c>
      <c r="F150" s="2"/>
    </row>
    <row r="151" spans="1:6" x14ac:dyDescent="0.25">
      <c r="A151" s="385" t="s">
        <v>909</v>
      </c>
      <c r="B151" s="1" t="s">
        <v>433</v>
      </c>
      <c r="C151" s="2" t="str">
        <f>"619217672725"</f>
        <v>619217672725</v>
      </c>
      <c r="D151">
        <v>59.44</v>
      </c>
      <c r="E151" s="225" t="s">
        <v>419</v>
      </c>
      <c r="F151" s="2"/>
    </row>
    <row r="152" spans="1:6" x14ac:dyDescent="0.25">
      <c r="A152" s="385" t="s">
        <v>909</v>
      </c>
      <c r="B152" s="1" t="s">
        <v>433</v>
      </c>
      <c r="C152" s="2" t="str">
        <f>"619217672724"</f>
        <v>619217672724</v>
      </c>
      <c r="D152">
        <v>61.44</v>
      </c>
      <c r="E152" s="225" t="s">
        <v>419</v>
      </c>
      <c r="F152" s="2"/>
    </row>
    <row r="153" spans="1:6" x14ac:dyDescent="0.25">
      <c r="A153" s="385" t="s">
        <v>909</v>
      </c>
      <c r="B153" s="1" t="s">
        <v>433</v>
      </c>
      <c r="C153" s="2" t="str">
        <f>"619217672723"</f>
        <v>619217672723</v>
      </c>
      <c r="D153">
        <v>62.33</v>
      </c>
      <c r="E153" s="225" t="s">
        <v>419</v>
      </c>
      <c r="F153" s="2"/>
    </row>
    <row r="154" spans="1:6" x14ac:dyDescent="0.25">
      <c r="A154" s="385" t="s">
        <v>909</v>
      </c>
      <c r="B154" s="1" t="s">
        <v>433</v>
      </c>
      <c r="C154" s="2" t="str">
        <f>"619217672722"</f>
        <v>619217672722</v>
      </c>
      <c r="D154">
        <v>62.56</v>
      </c>
      <c r="E154" s="225" t="s">
        <v>419</v>
      </c>
      <c r="F154" s="2"/>
    </row>
    <row r="155" spans="1:6" x14ac:dyDescent="0.25">
      <c r="A155" s="385" t="s">
        <v>909</v>
      </c>
      <c r="B155" s="1" t="s">
        <v>433</v>
      </c>
      <c r="C155" s="2" t="str">
        <f>"619217672721"</f>
        <v>619217672721</v>
      </c>
      <c r="D155">
        <v>62.67</v>
      </c>
      <c r="E155" s="225" t="s">
        <v>419</v>
      </c>
      <c r="F155" s="2"/>
    </row>
    <row r="156" spans="1:6" x14ac:dyDescent="0.25">
      <c r="A156" s="385" t="s">
        <v>909</v>
      </c>
      <c r="B156" s="1" t="s">
        <v>433</v>
      </c>
      <c r="C156" s="2" t="str">
        <f>"619217672720"</f>
        <v>619217672720</v>
      </c>
      <c r="D156">
        <v>63.33</v>
      </c>
      <c r="E156" s="225" t="s">
        <v>419</v>
      </c>
      <c r="F156" s="2"/>
    </row>
    <row r="157" spans="1:6" x14ac:dyDescent="0.25">
      <c r="A157" s="385" t="s">
        <v>909</v>
      </c>
      <c r="B157" s="1" t="s">
        <v>433</v>
      </c>
      <c r="C157" s="2" t="str">
        <f>"619217672719"</f>
        <v>619217672719</v>
      </c>
      <c r="D157">
        <v>63.33</v>
      </c>
      <c r="E157" s="225" t="s">
        <v>419</v>
      </c>
      <c r="F157" s="2"/>
    </row>
    <row r="158" spans="1:6" x14ac:dyDescent="0.25">
      <c r="A158" s="385" t="s">
        <v>909</v>
      </c>
      <c r="B158" s="1" t="s">
        <v>433</v>
      </c>
      <c r="C158" s="2" t="str">
        <f>"619217672718"</f>
        <v>619217672718</v>
      </c>
      <c r="D158">
        <v>65.11</v>
      </c>
      <c r="E158" s="225" t="s">
        <v>419</v>
      </c>
      <c r="F158" s="2"/>
    </row>
    <row r="159" spans="1:6" x14ac:dyDescent="0.25">
      <c r="A159" s="385" t="s">
        <v>909</v>
      </c>
      <c r="B159" s="1" t="s">
        <v>433</v>
      </c>
      <c r="C159" s="2" t="str">
        <f>"619217672717"</f>
        <v>619217672717</v>
      </c>
      <c r="D159">
        <v>65.11</v>
      </c>
      <c r="E159" s="225" t="s">
        <v>419</v>
      </c>
      <c r="F159" s="2"/>
    </row>
    <row r="160" spans="1:6" x14ac:dyDescent="0.25">
      <c r="A160" s="385" t="s">
        <v>909</v>
      </c>
      <c r="B160" s="1" t="s">
        <v>433</v>
      </c>
      <c r="C160" s="2" t="str">
        <f>"619217672716"</f>
        <v>619217672716</v>
      </c>
      <c r="D160">
        <v>65.56</v>
      </c>
      <c r="E160" s="225" t="s">
        <v>419</v>
      </c>
      <c r="F160" s="2"/>
    </row>
    <row r="161" spans="1:6" x14ac:dyDescent="0.25">
      <c r="A161" s="385" t="s">
        <v>909</v>
      </c>
      <c r="B161" s="1" t="s">
        <v>433</v>
      </c>
      <c r="C161" s="2" t="str">
        <f>"619217672715"</f>
        <v>619217672715</v>
      </c>
      <c r="D161">
        <v>65.67</v>
      </c>
      <c r="E161" s="225" t="s">
        <v>419</v>
      </c>
      <c r="F161" s="2"/>
    </row>
    <row r="162" spans="1:6" x14ac:dyDescent="0.25">
      <c r="A162" s="385" t="s">
        <v>909</v>
      </c>
      <c r="B162" s="1" t="s">
        <v>433</v>
      </c>
      <c r="C162" s="2" t="str">
        <f>"619217672714"</f>
        <v>619217672714</v>
      </c>
      <c r="D162">
        <v>66.22</v>
      </c>
      <c r="E162" s="225" t="s">
        <v>419</v>
      </c>
      <c r="F162" s="2"/>
    </row>
    <row r="163" spans="1:6" x14ac:dyDescent="0.25">
      <c r="A163" s="385" t="s">
        <v>909</v>
      </c>
      <c r="B163" s="1" t="s">
        <v>433</v>
      </c>
      <c r="C163" s="2" t="str">
        <f>"619217672713"</f>
        <v>619217672713</v>
      </c>
      <c r="D163">
        <v>66.44</v>
      </c>
      <c r="E163" s="225" t="s">
        <v>419</v>
      </c>
      <c r="F163" s="2"/>
    </row>
    <row r="164" spans="1:6" x14ac:dyDescent="0.25">
      <c r="A164" s="385" t="s">
        <v>909</v>
      </c>
      <c r="B164" s="1" t="s">
        <v>433</v>
      </c>
      <c r="C164" s="2" t="str">
        <f>"619217672712"</f>
        <v>619217672712</v>
      </c>
      <c r="D164">
        <v>71</v>
      </c>
      <c r="E164" s="225" t="s">
        <v>419</v>
      </c>
      <c r="F164" s="2"/>
    </row>
    <row r="165" spans="1:6" x14ac:dyDescent="0.25">
      <c r="A165" s="385" t="s">
        <v>909</v>
      </c>
      <c r="B165" s="1" t="s">
        <v>433</v>
      </c>
      <c r="C165" s="2" t="str">
        <f>"619217672711"</f>
        <v>619217672711</v>
      </c>
      <c r="D165">
        <v>73.33</v>
      </c>
      <c r="E165" s="225" t="s">
        <v>419</v>
      </c>
      <c r="F165" s="2"/>
    </row>
    <row r="166" spans="1:6" x14ac:dyDescent="0.25">
      <c r="A166" s="385" t="s">
        <v>909</v>
      </c>
      <c r="B166" s="1" t="s">
        <v>433</v>
      </c>
      <c r="C166" s="2" t="str">
        <f>"619217672737"</f>
        <v>619217672737</v>
      </c>
      <c r="D166" s="2">
        <v>44.89</v>
      </c>
      <c r="E166" s="66" t="s">
        <v>420</v>
      </c>
      <c r="F166" s="2"/>
    </row>
    <row r="167" spans="1:6" x14ac:dyDescent="0.25">
      <c r="A167" s="385" t="s">
        <v>909</v>
      </c>
      <c r="B167" s="1" t="s">
        <v>433</v>
      </c>
      <c r="C167" s="2" t="str">
        <f>"619217572736"</f>
        <v>619217572736</v>
      </c>
      <c r="D167" s="2">
        <v>46.67</v>
      </c>
      <c r="E167" s="66" t="s">
        <v>420</v>
      </c>
      <c r="F167" s="2"/>
    </row>
    <row r="168" spans="1:6" x14ac:dyDescent="0.25">
      <c r="A168" s="385" t="s">
        <v>909</v>
      </c>
      <c r="B168" s="1" t="s">
        <v>433</v>
      </c>
      <c r="C168" s="2" t="str">
        <f>"619217672735"</f>
        <v>619217672735</v>
      </c>
      <c r="D168" s="2">
        <v>52</v>
      </c>
      <c r="E168" s="66" t="s">
        <v>420</v>
      </c>
      <c r="F168" s="2"/>
    </row>
    <row r="169" spans="1:6" x14ac:dyDescent="0.25">
      <c r="A169" s="385" t="s">
        <v>909</v>
      </c>
      <c r="B169" s="1" t="s">
        <v>433</v>
      </c>
      <c r="C169" s="2" t="str">
        <f>"619217672734"</f>
        <v>619217672734</v>
      </c>
      <c r="D169" s="2">
        <v>52.67</v>
      </c>
      <c r="E169" s="66" t="s">
        <v>420</v>
      </c>
      <c r="F169" s="2"/>
    </row>
    <row r="170" spans="1:6" x14ac:dyDescent="0.25">
      <c r="A170" s="385" t="s">
        <v>909</v>
      </c>
      <c r="B170" s="1" t="s">
        <v>433</v>
      </c>
      <c r="C170" s="2" t="str">
        <f>"619217672733"</f>
        <v>619217672733</v>
      </c>
      <c r="D170" s="2">
        <v>57.11</v>
      </c>
      <c r="E170" s="66" t="s">
        <v>420</v>
      </c>
      <c r="F170" s="2"/>
    </row>
    <row r="171" spans="1:6" x14ac:dyDescent="0.25">
      <c r="A171" s="385" t="s">
        <v>909</v>
      </c>
      <c r="B171" s="1" t="s">
        <v>433</v>
      </c>
      <c r="C171" s="2" t="str">
        <f>"619217672732"</f>
        <v>619217672732</v>
      </c>
      <c r="D171" s="2">
        <v>58.22</v>
      </c>
      <c r="E171" s="66" t="s">
        <v>420</v>
      </c>
      <c r="F171" s="2"/>
    </row>
    <row r="172" spans="1:6" x14ac:dyDescent="0.25">
      <c r="A172" s="385" t="s">
        <v>909</v>
      </c>
      <c r="B172" s="1" t="s">
        <v>433</v>
      </c>
      <c r="C172" s="2" t="str">
        <f>"619217672731"</f>
        <v>619217672731</v>
      </c>
      <c r="D172" s="2">
        <v>58.44</v>
      </c>
      <c r="E172" s="66" t="s">
        <v>420</v>
      </c>
      <c r="F172" s="2"/>
    </row>
    <row r="173" spans="1:6" x14ac:dyDescent="0.25">
      <c r="A173" s="385" t="s">
        <v>909</v>
      </c>
      <c r="B173" s="1" t="s">
        <v>433</v>
      </c>
      <c r="C173" s="2" t="str">
        <f>"619217672730"</f>
        <v>619217672730</v>
      </c>
      <c r="D173" s="2">
        <v>58.56</v>
      </c>
      <c r="E173" s="66" t="s">
        <v>420</v>
      </c>
      <c r="F173" s="2"/>
    </row>
    <row r="174" spans="1:6" x14ac:dyDescent="0.25">
      <c r="A174" s="385" t="s">
        <v>909</v>
      </c>
      <c r="B174" s="1" t="s">
        <v>433</v>
      </c>
      <c r="C174" s="2" t="str">
        <f>"619217672729"</f>
        <v>619217672729</v>
      </c>
      <c r="D174" s="2">
        <v>58.56</v>
      </c>
      <c r="E174" s="66" t="s">
        <v>420</v>
      </c>
      <c r="F174" s="2"/>
    </row>
    <row r="175" spans="1:6" x14ac:dyDescent="0.25">
      <c r="A175" s="472" t="s">
        <v>909</v>
      </c>
      <c r="B175" s="161" t="s">
        <v>433</v>
      </c>
      <c r="C175" s="179" t="str">
        <f>"619217672740"</f>
        <v>619217672740</v>
      </c>
      <c r="D175" s="179">
        <v>50.44</v>
      </c>
      <c r="E175" s="383" t="s">
        <v>420</v>
      </c>
      <c r="F175" s="2"/>
    </row>
    <row r="176" spans="1:6" x14ac:dyDescent="0.25">
      <c r="A176" s="385" t="s">
        <v>1066</v>
      </c>
      <c r="B176" s="1" t="s">
        <v>434</v>
      </c>
      <c r="C176" s="2" t="str">
        <f>"619217673087"</f>
        <v>619217673087</v>
      </c>
      <c r="D176" s="26">
        <v>63.25</v>
      </c>
      <c r="E176" s="225" t="s">
        <v>419</v>
      </c>
      <c r="F176" s="6"/>
    </row>
    <row r="177" spans="1:6" x14ac:dyDescent="0.25">
      <c r="A177" s="385" t="s">
        <v>1066</v>
      </c>
      <c r="B177" s="1" t="s">
        <v>434</v>
      </c>
      <c r="C177" s="2" t="str">
        <f>"619217673086"</f>
        <v>619217673086</v>
      </c>
      <c r="D177" s="26">
        <v>65.75</v>
      </c>
      <c r="E177" s="225" t="s">
        <v>419</v>
      </c>
      <c r="F177" s="6"/>
    </row>
    <row r="178" spans="1:6" x14ac:dyDescent="0.25">
      <c r="A178" s="385" t="s">
        <v>1066</v>
      </c>
      <c r="B178" s="256" t="s">
        <v>472</v>
      </c>
      <c r="C178" s="2" t="str">
        <f>"619217793254"</f>
        <v>619217793254</v>
      </c>
      <c r="D178" s="2">
        <v>67.44</v>
      </c>
      <c r="E178" s="225" t="s">
        <v>419</v>
      </c>
    </row>
    <row r="179" spans="1:6" x14ac:dyDescent="0.25">
      <c r="A179" s="385" t="s">
        <v>1066</v>
      </c>
      <c r="B179" s="256" t="s">
        <v>472</v>
      </c>
      <c r="C179" s="2" t="str">
        <f>"619217683255"</f>
        <v>619217683255</v>
      </c>
      <c r="D179" s="2">
        <v>64.33</v>
      </c>
      <c r="E179" s="225" t="s">
        <v>419</v>
      </c>
    </row>
    <row r="180" spans="1:6" x14ac:dyDescent="0.25">
      <c r="A180" s="385" t="s">
        <v>1066</v>
      </c>
      <c r="B180" s="256" t="s">
        <v>472</v>
      </c>
      <c r="C180" s="2" t="str">
        <f>"619217683256"</f>
        <v>619217683256</v>
      </c>
      <c r="D180" s="2">
        <v>63</v>
      </c>
      <c r="E180" s="225" t="s">
        <v>419</v>
      </c>
    </row>
    <row r="181" spans="1:6" x14ac:dyDescent="0.25">
      <c r="A181" s="385" t="s">
        <v>1066</v>
      </c>
      <c r="B181" s="256" t="s">
        <v>472</v>
      </c>
      <c r="C181" s="2" t="str">
        <f>"619217683257"</f>
        <v>619217683257</v>
      </c>
      <c r="D181" s="2">
        <v>62.89</v>
      </c>
      <c r="E181" s="225" t="s">
        <v>419</v>
      </c>
    </row>
    <row r="182" spans="1:6" x14ac:dyDescent="0.25">
      <c r="A182" s="385" t="s">
        <v>1066</v>
      </c>
      <c r="B182" s="256" t="s">
        <v>472</v>
      </c>
      <c r="C182" s="2" t="str">
        <f>"619217683258"</f>
        <v>619217683258</v>
      </c>
      <c r="D182" s="2">
        <v>62.44</v>
      </c>
      <c r="E182" s="225" t="s">
        <v>419</v>
      </c>
    </row>
    <row r="183" spans="1:6" x14ac:dyDescent="0.25">
      <c r="A183" s="385" t="s">
        <v>1066</v>
      </c>
      <c r="B183" s="256" t="s">
        <v>472</v>
      </c>
      <c r="C183" s="2" t="str">
        <f>"619217683289"</f>
        <v>619217683289</v>
      </c>
      <c r="D183" s="2">
        <v>61.33</v>
      </c>
      <c r="E183" s="225" t="s">
        <v>419</v>
      </c>
    </row>
    <row r="184" spans="1:6" x14ac:dyDescent="0.25">
      <c r="A184" s="385" t="s">
        <v>1066</v>
      </c>
      <c r="B184" s="256" t="s">
        <v>472</v>
      </c>
      <c r="C184" s="2" t="str">
        <f>"619217683290"</f>
        <v>619217683290</v>
      </c>
      <c r="D184" s="2">
        <v>60.67</v>
      </c>
      <c r="E184" s="225" t="s">
        <v>419</v>
      </c>
    </row>
    <row r="185" spans="1:6" x14ac:dyDescent="0.25">
      <c r="A185" s="385" t="s">
        <v>1066</v>
      </c>
      <c r="B185" s="256" t="s">
        <v>472</v>
      </c>
      <c r="C185" s="2" t="str">
        <f>"619217683261"</f>
        <v>619217683261</v>
      </c>
      <c r="D185" s="2">
        <v>60.56</v>
      </c>
      <c r="E185" s="225" t="s">
        <v>419</v>
      </c>
    </row>
    <row r="186" spans="1:6" x14ac:dyDescent="0.25">
      <c r="A186" s="385" t="s">
        <v>1066</v>
      </c>
      <c r="B186" s="256" t="s">
        <v>472</v>
      </c>
      <c r="C186" s="2" t="str">
        <f>"619217843291"</f>
        <v>619217843291</v>
      </c>
      <c r="D186" s="2">
        <v>60</v>
      </c>
      <c r="E186" s="225" t="s">
        <v>419</v>
      </c>
    </row>
    <row r="187" spans="1:6" x14ac:dyDescent="0.25">
      <c r="A187" s="385" t="s">
        <v>1066</v>
      </c>
      <c r="B187" s="256" t="s">
        <v>472</v>
      </c>
      <c r="C187" s="2" t="str">
        <f>"619217683292"</f>
        <v>619217683292</v>
      </c>
      <c r="D187" s="2">
        <v>59.44</v>
      </c>
      <c r="E187" s="225" t="s">
        <v>419</v>
      </c>
    </row>
    <row r="188" spans="1:6" x14ac:dyDescent="0.25">
      <c r="A188" s="385" t="s">
        <v>1066</v>
      </c>
      <c r="B188" s="256" t="s">
        <v>472</v>
      </c>
      <c r="C188" s="2" t="str">
        <f>"619217683264"</f>
        <v>619217683264</v>
      </c>
      <c r="D188" s="2">
        <v>59.22</v>
      </c>
      <c r="E188" s="225" t="s">
        <v>419</v>
      </c>
    </row>
    <row r="189" spans="1:6" x14ac:dyDescent="0.25">
      <c r="A189" s="385" t="s">
        <v>1066</v>
      </c>
      <c r="B189" s="256" t="s">
        <v>472</v>
      </c>
      <c r="C189" s="2" t="str">
        <f>"619217683265"</f>
        <v>619217683265</v>
      </c>
      <c r="D189" s="2">
        <v>59</v>
      </c>
      <c r="E189" s="225" t="s">
        <v>419</v>
      </c>
    </row>
    <row r="190" spans="1:6" x14ac:dyDescent="0.25">
      <c r="A190" s="385" t="s">
        <v>1066</v>
      </c>
      <c r="B190" s="256" t="s">
        <v>472</v>
      </c>
      <c r="C190" s="2" t="str">
        <f>"619217683266"</f>
        <v>619217683266</v>
      </c>
      <c r="D190" s="2">
        <v>58.89</v>
      </c>
      <c r="E190" s="225" t="s">
        <v>419</v>
      </c>
    </row>
    <row r="191" spans="1:6" x14ac:dyDescent="0.25">
      <c r="A191" s="385" t="s">
        <v>1066</v>
      </c>
      <c r="B191" s="256" t="s">
        <v>472</v>
      </c>
      <c r="C191" s="2" t="str">
        <f>"619217683267"</f>
        <v>619217683267</v>
      </c>
      <c r="D191" s="2">
        <v>58.56</v>
      </c>
      <c r="E191" s="225" t="s">
        <v>419</v>
      </c>
    </row>
    <row r="192" spans="1:6" x14ac:dyDescent="0.25">
      <c r="A192" s="385" t="s">
        <v>1066</v>
      </c>
      <c r="B192" s="256" t="s">
        <v>472</v>
      </c>
      <c r="C192" s="2" t="str">
        <f>"619217373268"</f>
        <v>619217373268</v>
      </c>
      <c r="D192" s="2">
        <v>58.22</v>
      </c>
      <c r="E192" s="225" t="s">
        <v>419</v>
      </c>
    </row>
    <row r="193" spans="1:5" x14ac:dyDescent="0.25">
      <c r="A193" s="385" t="s">
        <v>1066</v>
      </c>
      <c r="B193" s="256" t="s">
        <v>472</v>
      </c>
      <c r="C193" s="2" t="str">
        <f>"619217683269"</f>
        <v>619217683269</v>
      </c>
      <c r="D193" s="2">
        <v>58.11</v>
      </c>
      <c r="E193" s="225" t="s">
        <v>419</v>
      </c>
    </row>
    <row r="194" spans="1:5" x14ac:dyDescent="0.25">
      <c r="A194" s="385" t="s">
        <v>1066</v>
      </c>
      <c r="B194" s="256" t="s">
        <v>472</v>
      </c>
      <c r="C194" s="2" t="str">
        <f>"619217683270"</f>
        <v>619217683270</v>
      </c>
      <c r="D194" s="2">
        <v>57.22</v>
      </c>
      <c r="E194" s="225" t="s">
        <v>419</v>
      </c>
    </row>
    <row r="195" spans="1:5" x14ac:dyDescent="0.25">
      <c r="A195" s="385" t="s">
        <v>1066</v>
      </c>
      <c r="B195" s="256" t="s">
        <v>472</v>
      </c>
      <c r="C195" s="2" t="str">
        <f>"619217683271"</f>
        <v>619217683271</v>
      </c>
      <c r="D195" s="2">
        <v>56.78</v>
      </c>
      <c r="E195" s="225" t="s">
        <v>419</v>
      </c>
    </row>
    <row r="196" spans="1:5" x14ac:dyDescent="0.25">
      <c r="A196" s="385" t="s">
        <v>1066</v>
      </c>
      <c r="B196" s="256" t="s">
        <v>472</v>
      </c>
      <c r="C196" s="2" t="str">
        <f>"619217683272"</f>
        <v>619217683272</v>
      </c>
      <c r="D196" s="2">
        <v>55.89</v>
      </c>
      <c r="E196" s="226" t="s">
        <v>420</v>
      </c>
    </row>
    <row r="197" spans="1:5" x14ac:dyDescent="0.25">
      <c r="A197" s="385" t="s">
        <v>1066</v>
      </c>
      <c r="B197" s="256" t="s">
        <v>472</v>
      </c>
      <c r="C197" s="2" t="str">
        <f>"619217683273"</f>
        <v>619217683273</v>
      </c>
      <c r="D197" s="2">
        <v>55.33</v>
      </c>
      <c r="E197" s="226" t="s">
        <v>420</v>
      </c>
    </row>
    <row r="198" spans="1:5" x14ac:dyDescent="0.25">
      <c r="A198" s="385" t="s">
        <v>1066</v>
      </c>
      <c r="B198" s="256" t="s">
        <v>472</v>
      </c>
      <c r="C198" s="2" t="str">
        <f>"619217683274"</f>
        <v>619217683274</v>
      </c>
      <c r="D198" s="2">
        <v>55.22</v>
      </c>
      <c r="E198" s="226" t="s">
        <v>420</v>
      </c>
    </row>
    <row r="199" spans="1:5" x14ac:dyDescent="0.25">
      <c r="A199" s="385" t="s">
        <v>1066</v>
      </c>
      <c r="B199" s="256" t="s">
        <v>472</v>
      </c>
      <c r="C199" s="2" t="str">
        <f>"619217683293"</f>
        <v>619217683293</v>
      </c>
      <c r="D199" s="2">
        <v>54.67</v>
      </c>
      <c r="E199" s="226" t="s">
        <v>420</v>
      </c>
    </row>
    <row r="200" spans="1:5" x14ac:dyDescent="0.25">
      <c r="A200" s="385" t="s">
        <v>1066</v>
      </c>
      <c r="B200" s="256" t="s">
        <v>472</v>
      </c>
      <c r="C200" s="2" t="str">
        <f>"619217683275"</f>
        <v>619217683275</v>
      </c>
      <c r="D200" s="2">
        <v>54</v>
      </c>
      <c r="E200" s="226" t="s">
        <v>420</v>
      </c>
    </row>
    <row r="201" spans="1:5" x14ac:dyDescent="0.25">
      <c r="A201" s="385" t="s">
        <v>1066</v>
      </c>
      <c r="B201" s="256" t="s">
        <v>472</v>
      </c>
      <c r="C201" s="2" t="str">
        <f>"619217683276"</f>
        <v>619217683276</v>
      </c>
      <c r="D201" s="2">
        <v>53.89</v>
      </c>
      <c r="E201" s="226" t="s">
        <v>420</v>
      </c>
    </row>
    <row r="202" spans="1:5" x14ac:dyDescent="0.25">
      <c r="A202" s="385" t="s">
        <v>1066</v>
      </c>
      <c r="B202" s="256" t="s">
        <v>472</v>
      </c>
      <c r="C202" s="2" t="str">
        <f>"619217683277"</f>
        <v>619217683277</v>
      </c>
      <c r="D202" s="2">
        <v>52.11</v>
      </c>
      <c r="E202" s="226" t="s">
        <v>420</v>
      </c>
    </row>
    <row r="203" spans="1:5" x14ac:dyDescent="0.25">
      <c r="A203" s="385" t="s">
        <v>1066</v>
      </c>
      <c r="B203" s="256" t="s">
        <v>472</v>
      </c>
      <c r="C203" s="2" t="str">
        <f>"619217683278"</f>
        <v>619217683278</v>
      </c>
      <c r="D203" s="2">
        <v>52</v>
      </c>
      <c r="E203" s="226" t="s">
        <v>420</v>
      </c>
    </row>
    <row r="204" spans="1:5" x14ac:dyDescent="0.25">
      <c r="A204" s="385" t="s">
        <v>1066</v>
      </c>
      <c r="B204" s="256" t="s">
        <v>472</v>
      </c>
      <c r="C204" s="2" t="str">
        <f>"619217683279"</f>
        <v>619217683279</v>
      </c>
      <c r="D204" s="2">
        <v>51.11</v>
      </c>
      <c r="E204" s="226" t="s">
        <v>420</v>
      </c>
    </row>
    <row r="205" spans="1:5" x14ac:dyDescent="0.25">
      <c r="A205" s="385" t="s">
        <v>1066</v>
      </c>
      <c r="B205" s="256" t="s">
        <v>472</v>
      </c>
      <c r="C205" s="2" t="str">
        <f>"619217683280"</f>
        <v>619217683280</v>
      </c>
      <c r="D205" s="2">
        <v>50.56</v>
      </c>
      <c r="E205" s="226" t="s">
        <v>420</v>
      </c>
    </row>
    <row r="206" spans="1:5" x14ac:dyDescent="0.25">
      <c r="A206" s="385" t="s">
        <v>1066</v>
      </c>
      <c r="B206" s="256" t="s">
        <v>472</v>
      </c>
      <c r="C206" s="2" t="str">
        <f>"619217683281"</f>
        <v>619217683281</v>
      </c>
      <c r="D206" s="2">
        <v>50.44</v>
      </c>
      <c r="E206" s="226" t="s">
        <v>420</v>
      </c>
    </row>
    <row r="207" spans="1:5" x14ac:dyDescent="0.25">
      <c r="A207" s="385" t="s">
        <v>1066</v>
      </c>
      <c r="B207" s="256" t="s">
        <v>472</v>
      </c>
      <c r="C207" s="2" t="str">
        <f>"619217683282"</f>
        <v>619217683282</v>
      </c>
      <c r="D207" s="2">
        <v>47.22</v>
      </c>
      <c r="E207" s="226" t="s">
        <v>420</v>
      </c>
    </row>
    <row r="208" spans="1:5" x14ac:dyDescent="0.25">
      <c r="A208" s="385" t="s">
        <v>1066</v>
      </c>
      <c r="B208" s="256" t="s">
        <v>472</v>
      </c>
      <c r="C208" s="2" t="str">
        <f>"619217683283"</f>
        <v>619217683283</v>
      </c>
      <c r="D208" s="2">
        <v>46.44</v>
      </c>
      <c r="E208" s="226" t="s">
        <v>420</v>
      </c>
    </row>
    <row r="209" spans="1:5" x14ac:dyDescent="0.25">
      <c r="A209" s="385" t="s">
        <v>1066</v>
      </c>
      <c r="B209" s="256" t="s">
        <v>472</v>
      </c>
      <c r="C209" s="2" t="str">
        <f>"619217683284"</f>
        <v>619217683284</v>
      </c>
      <c r="D209" s="2">
        <v>43.11</v>
      </c>
      <c r="E209" s="226" t="s">
        <v>420</v>
      </c>
    </row>
    <row r="210" spans="1:5" x14ac:dyDescent="0.25">
      <c r="A210" s="385" t="s">
        <v>1066</v>
      </c>
      <c r="B210" s="256" t="s">
        <v>433</v>
      </c>
      <c r="C210" s="2" t="str">
        <f>"619217683294"</f>
        <v>619217683294</v>
      </c>
      <c r="D210" s="2">
        <v>67.67</v>
      </c>
      <c r="E210" s="225" t="s">
        <v>419</v>
      </c>
    </row>
    <row r="211" spans="1:5" x14ac:dyDescent="0.25">
      <c r="A211" s="385" t="s">
        <v>1066</v>
      </c>
      <c r="B211" s="256" t="s">
        <v>433</v>
      </c>
      <c r="C211" s="2" t="str">
        <f>"619217683247"</f>
        <v>619217683247</v>
      </c>
      <c r="D211" s="2">
        <v>67.44</v>
      </c>
      <c r="E211" s="225" t="s">
        <v>419</v>
      </c>
    </row>
    <row r="212" spans="1:5" x14ac:dyDescent="0.25">
      <c r="A212" s="385" t="s">
        <v>1066</v>
      </c>
      <c r="B212" s="256" t="s">
        <v>433</v>
      </c>
      <c r="C212" s="2" t="str">
        <f>"619217683242"</f>
        <v>619217683242</v>
      </c>
      <c r="D212" s="2">
        <v>66.89</v>
      </c>
      <c r="E212" s="225" t="s">
        <v>419</v>
      </c>
    </row>
    <row r="213" spans="1:5" x14ac:dyDescent="0.25">
      <c r="A213" s="385" t="s">
        <v>1066</v>
      </c>
      <c r="B213" s="256" t="s">
        <v>433</v>
      </c>
      <c r="C213" s="2" t="str">
        <f>"619217683235"</f>
        <v>619217683235</v>
      </c>
      <c r="D213" s="2">
        <v>64.78</v>
      </c>
      <c r="E213" s="225" t="s">
        <v>419</v>
      </c>
    </row>
    <row r="214" spans="1:5" x14ac:dyDescent="0.25">
      <c r="A214" s="385" t="s">
        <v>1066</v>
      </c>
      <c r="B214" s="256" t="s">
        <v>433</v>
      </c>
      <c r="C214" s="2" t="str">
        <f>"619217683239"</f>
        <v>619217683239</v>
      </c>
      <c r="D214" s="2">
        <v>62</v>
      </c>
      <c r="E214" s="225" t="s">
        <v>419</v>
      </c>
    </row>
    <row r="215" spans="1:5" x14ac:dyDescent="0.25">
      <c r="A215" s="385" t="s">
        <v>1066</v>
      </c>
      <c r="B215" s="256" t="s">
        <v>433</v>
      </c>
      <c r="C215" s="2" t="str">
        <f>"619217683246"</f>
        <v>619217683246</v>
      </c>
      <c r="D215" s="2">
        <v>61.89</v>
      </c>
      <c r="E215" s="225" t="s">
        <v>419</v>
      </c>
    </row>
    <row r="216" spans="1:5" x14ac:dyDescent="0.25">
      <c r="A216" s="385" t="s">
        <v>1066</v>
      </c>
      <c r="B216" s="256" t="s">
        <v>433</v>
      </c>
      <c r="C216" s="2" t="str">
        <f>"619217683234"</f>
        <v>619217683234</v>
      </c>
      <c r="D216" s="2">
        <v>60.67</v>
      </c>
      <c r="E216" s="225" t="s">
        <v>419</v>
      </c>
    </row>
    <row r="217" spans="1:5" x14ac:dyDescent="0.25">
      <c r="A217" s="385" t="s">
        <v>1066</v>
      </c>
      <c r="B217" s="256" t="s">
        <v>433</v>
      </c>
      <c r="C217" s="2" t="str">
        <f>"619217683231"</f>
        <v>619217683231</v>
      </c>
      <c r="D217" s="2">
        <v>60.44</v>
      </c>
      <c r="E217" s="225" t="s">
        <v>419</v>
      </c>
    </row>
    <row r="218" spans="1:5" x14ac:dyDescent="0.25">
      <c r="A218" s="385" t="s">
        <v>1066</v>
      </c>
      <c r="B218" s="256" t="s">
        <v>433</v>
      </c>
      <c r="C218" s="2" t="str">
        <f>"619217683241"</f>
        <v>619217683241</v>
      </c>
      <c r="D218" s="2">
        <v>59.33</v>
      </c>
      <c r="E218" s="225" t="s">
        <v>419</v>
      </c>
    </row>
    <row r="219" spans="1:5" x14ac:dyDescent="0.25">
      <c r="A219" s="385" t="s">
        <v>1066</v>
      </c>
      <c r="B219" s="256" t="s">
        <v>433</v>
      </c>
      <c r="C219" s="2" t="str">
        <f>"619217683248"</f>
        <v>619217683248</v>
      </c>
      <c r="D219" s="2">
        <v>58.11</v>
      </c>
      <c r="E219" s="225" t="s">
        <v>419</v>
      </c>
    </row>
    <row r="220" spans="1:5" x14ac:dyDescent="0.25">
      <c r="A220" s="385" t="s">
        <v>1066</v>
      </c>
      <c r="B220" s="256" t="s">
        <v>433</v>
      </c>
      <c r="C220" s="2" t="str">
        <f>"619217683230"</f>
        <v>619217683230</v>
      </c>
      <c r="D220" s="2">
        <v>58.11</v>
      </c>
      <c r="E220" s="225" t="s">
        <v>419</v>
      </c>
    </row>
    <row r="221" spans="1:5" x14ac:dyDescent="0.25">
      <c r="A221" s="385" t="s">
        <v>1066</v>
      </c>
      <c r="B221" s="256" t="s">
        <v>433</v>
      </c>
      <c r="C221" s="2" t="str">
        <f>"619217683296"</f>
        <v>619217683296</v>
      </c>
      <c r="D221" s="2">
        <v>45.11</v>
      </c>
      <c r="E221" s="226" t="s">
        <v>420</v>
      </c>
    </row>
    <row r="222" spans="1:5" x14ac:dyDescent="0.25">
      <c r="A222" s="385" t="s">
        <v>1066</v>
      </c>
      <c r="B222" s="256" t="s">
        <v>433</v>
      </c>
      <c r="C222" s="2" t="str">
        <f>"619217683244"</f>
        <v>619217683244</v>
      </c>
      <c r="D222" s="2">
        <v>50</v>
      </c>
      <c r="E222" s="226" t="s">
        <v>420</v>
      </c>
    </row>
    <row r="223" spans="1:5" x14ac:dyDescent="0.25">
      <c r="A223" s="385" t="s">
        <v>1066</v>
      </c>
      <c r="B223" s="256" t="s">
        <v>433</v>
      </c>
      <c r="C223" s="2" t="str">
        <f>"619217683295"</f>
        <v>619217683295</v>
      </c>
      <c r="D223" s="2">
        <v>53.33</v>
      </c>
      <c r="E223" s="226" t="s">
        <v>420</v>
      </c>
    </row>
    <row r="224" spans="1:5" x14ac:dyDescent="0.25">
      <c r="A224" s="385" t="s">
        <v>1066</v>
      </c>
      <c r="B224" s="256" t="s">
        <v>433</v>
      </c>
      <c r="C224" s="2" t="str">
        <f>"619217683238"</f>
        <v>619217683238</v>
      </c>
      <c r="D224" s="2">
        <v>54.44</v>
      </c>
      <c r="E224" s="226" t="s">
        <v>420</v>
      </c>
    </row>
    <row r="225" spans="1:5" x14ac:dyDescent="0.25">
      <c r="A225" s="385" t="s">
        <v>1066</v>
      </c>
      <c r="B225" s="256" t="s">
        <v>433</v>
      </c>
      <c r="C225" s="2" t="str">
        <f>"619217683243"</f>
        <v>619217683243</v>
      </c>
      <c r="D225" s="2">
        <v>55.33</v>
      </c>
      <c r="E225" s="226" t="s">
        <v>420</v>
      </c>
    </row>
    <row r="226" spans="1:5" x14ac:dyDescent="0.25">
      <c r="A226" s="385" t="s">
        <v>1066</v>
      </c>
      <c r="B226" s="256" t="s">
        <v>433</v>
      </c>
      <c r="C226" s="2" t="str">
        <f>"619217683240"</f>
        <v>619217683240</v>
      </c>
      <c r="D226" s="2">
        <v>55.67</v>
      </c>
      <c r="E226" s="226" t="s">
        <v>420</v>
      </c>
    </row>
    <row r="227" spans="1:5" x14ac:dyDescent="0.25">
      <c r="A227" s="385" t="s">
        <v>1066</v>
      </c>
      <c r="B227" s="256" t="s">
        <v>433</v>
      </c>
      <c r="C227" s="2" t="str">
        <f>"619217683236"</f>
        <v>619217683236</v>
      </c>
      <c r="D227" s="2">
        <v>56.22</v>
      </c>
      <c r="E227" s="226" t="s">
        <v>420</v>
      </c>
    </row>
    <row r="228" spans="1:5" x14ac:dyDescent="0.25">
      <c r="A228" s="385" t="s">
        <v>1066</v>
      </c>
      <c r="B228" s="256" t="s">
        <v>433</v>
      </c>
      <c r="C228" s="2" t="str">
        <f>"619217683237"</f>
        <v>619217683237</v>
      </c>
      <c r="D228" s="2">
        <v>57</v>
      </c>
      <c r="E228" s="226" t="s">
        <v>420</v>
      </c>
    </row>
    <row r="229" spans="1:5" x14ac:dyDescent="0.25">
      <c r="A229" s="385" t="s">
        <v>1066</v>
      </c>
      <c r="B229" s="256" t="s">
        <v>433</v>
      </c>
      <c r="C229" s="2" t="str">
        <f>"619217683249"</f>
        <v>619217683249</v>
      </c>
      <c r="D229" s="2">
        <v>57.56</v>
      </c>
      <c r="E229" s="226" t="s">
        <v>420</v>
      </c>
    </row>
    <row r="230" spans="1:5" ht="15.75" x14ac:dyDescent="0.25">
      <c r="A230" s="616" t="s">
        <v>1132</v>
      </c>
      <c r="B230" s="256" t="s">
        <v>472</v>
      </c>
      <c r="C230" s="11">
        <v>19201800410</v>
      </c>
      <c r="D230" s="26">
        <v>82.01</v>
      </c>
      <c r="E230" s="225" t="s">
        <v>419</v>
      </c>
    </row>
    <row r="231" spans="1:5" ht="15.75" x14ac:dyDescent="0.25">
      <c r="A231" s="616" t="s">
        <v>1132</v>
      </c>
      <c r="B231" s="256" t="s">
        <v>472</v>
      </c>
      <c r="C231" s="11">
        <v>19201800401</v>
      </c>
      <c r="D231" s="26">
        <v>75.69</v>
      </c>
      <c r="E231" s="225" t="s">
        <v>419</v>
      </c>
    </row>
    <row r="232" spans="1:5" ht="15.75" x14ac:dyDescent="0.25">
      <c r="A232" s="616" t="s">
        <v>1132</v>
      </c>
      <c r="B232" s="256" t="s">
        <v>472</v>
      </c>
      <c r="C232" s="11">
        <v>19201800400</v>
      </c>
      <c r="D232" s="26">
        <v>75.239999999999995</v>
      </c>
      <c r="E232" s="225" t="s">
        <v>419</v>
      </c>
    </row>
    <row r="233" spans="1:5" ht="15.75" x14ac:dyDescent="0.25">
      <c r="A233" s="616" t="s">
        <v>1132</v>
      </c>
      <c r="B233" s="256" t="s">
        <v>472</v>
      </c>
      <c r="C233" s="11">
        <v>19201800389</v>
      </c>
      <c r="D233" s="26">
        <v>74.680000000000007</v>
      </c>
      <c r="E233" s="225" t="s">
        <v>419</v>
      </c>
    </row>
    <row r="234" spans="1:5" ht="15.75" x14ac:dyDescent="0.25">
      <c r="A234" s="616" t="s">
        <v>1132</v>
      </c>
      <c r="B234" s="256" t="s">
        <v>472</v>
      </c>
      <c r="C234" s="11">
        <v>19201800367</v>
      </c>
      <c r="D234" s="26">
        <v>74.02</v>
      </c>
      <c r="E234" s="225" t="s">
        <v>419</v>
      </c>
    </row>
    <row r="235" spans="1:5" ht="15.75" x14ac:dyDescent="0.25">
      <c r="A235" s="616" t="s">
        <v>1132</v>
      </c>
      <c r="B235" s="256" t="s">
        <v>472</v>
      </c>
      <c r="C235" s="11">
        <v>19201800445</v>
      </c>
      <c r="D235" s="26">
        <v>73.47</v>
      </c>
      <c r="E235" s="225" t="s">
        <v>419</v>
      </c>
    </row>
    <row r="236" spans="1:5" ht="15.75" x14ac:dyDescent="0.25">
      <c r="A236" s="616" t="s">
        <v>1132</v>
      </c>
      <c r="B236" s="256" t="s">
        <v>472</v>
      </c>
      <c r="C236" s="11">
        <v>19201800341</v>
      </c>
      <c r="D236" s="26">
        <v>72.349999999999994</v>
      </c>
      <c r="E236" s="225" t="s">
        <v>419</v>
      </c>
    </row>
    <row r="237" spans="1:5" ht="15.75" x14ac:dyDescent="0.25">
      <c r="A237" s="616" t="s">
        <v>1132</v>
      </c>
      <c r="B237" s="256" t="s">
        <v>472</v>
      </c>
      <c r="C237" s="11">
        <v>19201800370</v>
      </c>
      <c r="D237" s="26">
        <v>71.680000000000007</v>
      </c>
      <c r="E237" s="225" t="s">
        <v>419</v>
      </c>
    </row>
    <row r="238" spans="1:5" ht="15.75" x14ac:dyDescent="0.25">
      <c r="A238" s="616" t="s">
        <v>1132</v>
      </c>
      <c r="B238" s="256" t="s">
        <v>472</v>
      </c>
      <c r="C238" s="11">
        <v>19201800406</v>
      </c>
      <c r="D238" s="26">
        <v>70.45</v>
      </c>
      <c r="E238" s="225" t="s">
        <v>419</v>
      </c>
    </row>
    <row r="239" spans="1:5" ht="15.75" x14ac:dyDescent="0.25">
      <c r="A239" s="616" t="s">
        <v>1132</v>
      </c>
      <c r="B239" s="256" t="s">
        <v>472</v>
      </c>
      <c r="C239" s="11">
        <v>19201800362</v>
      </c>
      <c r="D239" s="26">
        <v>68.569999999999993</v>
      </c>
      <c r="E239" s="225" t="s">
        <v>419</v>
      </c>
    </row>
    <row r="240" spans="1:5" ht="15.75" x14ac:dyDescent="0.25">
      <c r="A240" s="616" t="s">
        <v>1132</v>
      </c>
      <c r="B240" s="256" t="s">
        <v>472</v>
      </c>
      <c r="C240" s="11">
        <v>19201800375</v>
      </c>
      <c r="D240" s="26">
        <v>68.02</v>
      </c>
      <c r="E240" s="225" t="s">
        <v>419</v>
      </c>
    </row>
    <row r="241" spans="1:5" ht="15.75" x14ac:dyDescent="0.25">
      <c r="A241" s="616" t="s">
        <v>1132</v>
      </c>
      <c r="B241" s="256" t="s">
        <v>472</v>
      </c>
      <c r="C241" s="11">
        <v>19201800369</v>
      </c>
      <c r="D241" s="26">
        <v>66.239999999999995</v>
      </c>
      <c r="E241" s="225" t="s">
        <v>419</v>
      </c>
    </row>
    <row r="242" spans="1:5" ht="15.75" x14ac:dyDescent="0.25">
      <c r="A242" s="616" t="s">
        <v>1132</v>
      </c>
      <c r="B242" s="256" t="s">
        <v>472</v>
      </c>
      <c r="C242" s="11">
        <v>19201800379</v>
      </c>
      <c r="D242" s="26">
        <v>65.8</v>
      </c>
      <c r="E242" s="225" t="s">
        <v>419</v>
      </c>
    </row>
    <row r="243" spans="1:5" ht="15.75" x14ac:dyDescent="0.25">
      <c r="A243" s="616" t="s">
        <v>1132</v>
      </c>
      <c r="B243" s="256" t="s">
        <v>472</v>
      </c>
      <c r="C243" s="11">
        <v>19201800448</v>
      </c>
      <c r="D243" s="26">
        <v>65.459999999999994</v>
      </c>
      <c r="E243" s="225" t="s">
        <v>419</v>
      </c>
    </row>
    <row r="244" spans="1:5" ht="15.75" x14ac:dyDescent="0.25">
      <c r="A244" s="616" t="s">
        <v>1132</v>
      </c>
      <c r="B244" s="256" t="s">
        <v>472</v>
      </c>
      <c r="C244" s="11">
        <v>19201800402</v>
      </c>
      <c r="D244" s="26">
        <v>65.23</v>
      </c>
      <c r="E244" s="225" t="s">
        <v>419</v>
      </c>
    </row>
    <row r="245" spans="1:5" ht="15.75" x14ac:dyDescent="0.25">
      <c r="A245" s="616" t="s">
        <v>1132</v>
      </c>
      <c r="B245" s="256" t="s">
        <v>472</v>
      </c>
      <c r="C245" s="11">
        <v>19201800403</v>
      </c>
      <c r="D245" s="26">
        <v>64.91</v>
      </c>
      <c r="E245" s="225" t="s">
        <v>419</v>
      </c>
    </row>
    <row r="246" spans="1:5" ht="15.75" x14ac:dyDescent="0.25">
      <c r="A246" s="616" t="s">
        <v>1132</v>
      </c>
      <c r="B246" s="256" t="s">
        <v>472</v>
      </c>
      <c r="C246" s="11">
        <v>19201800371</v>
      </c>
      <c r="D246" s="26">
        <v>64.569999999999993</v>
      </c>
      <c r="E246" s="225" t="s">
        <v>419</v>
      </c>
    </row>
    <row r="247" spans="1:5" ht="15.75" x14ac:dyDescent="0.25">
      <c r="A247" s="616" t="s">
        <v>1132</v>
      </c>
      <c r="B247" s="256" t="s">
        <v>472</v>
      </c>
      <c r="C247" s="11">
        <v>19201800382</v>
      </c>
      <c r="D247" s="26">
        <v>64.349999999999994</v>
      </c>
      <c r="E247" s="225" t="s">
        <v>419</v>
      </c>
    </row>
    <row r="248" spans="1:5" ht="15.75" x14ac:dyDescent="0.25">
      <c r="A248" s="616" t="s">
        <v>1132</v>
      </c>
      <c r="B248" s="256" t="s">
        <v>472</v>
      </c>
      <c r="C248" s="618">
        <v>19201800397</v>
      </c>
      <c r="D248" s="26">
        <v>62.8</v>
      </c>
      <c r="E248" s="226" t="s">
        <v>420</v>
      </c>
    </row>
    <row r="249" spans="1:5" ht="15.75" x14ac:dyDescent="0.25">
      <c r="A249" s="616" t="s">
        <v>1132</v>
      </c>
      <c r="B249" s="256" t="s">
        <v>472</v>
      </c>
      <c r="C249" s="618">
        <v>19201800349</v>
      </c>
      <c r="D249" s="26">
        <v>61.58</v>
      </c>
      <c r="E249" s="226" t="s">
        <v>420</v>
      </c>
    </row>
    <row r="250" spans="1:5" ht="15.75" x14ac:dyDescent="0.25">
      <c r="A250" s="616" t="s">
        <v>1132</v>
      </c>
      <c r="B250" s="256" t="s">
        <v>472</v>
      </c>
      <c r="C250" s="618">
        <v>19201800396</v>
      </c>
      <c r="D250" s="26">
        <v>61.48</v>
      </c>
      <c r="E250" s="226" t="s">
        <v>420</v>
      </c>
    </row>
    <row r="251" spans="1:5" ht="15.75" x14ac:dyDescent="0.25">
      <c r="A251" s="616" t="s">
        <v>1132</v>
      </c>
      <c r="B251" s="256" t="s">
        <v>472</v>
      </c>
      <c r="C251" s="618">
        <v>19201800380</v>
      </c>
      <c r="D251" s="26">
        <v>61.47</v>
      </c>
      <c r="E251" s="226" t="s">
        <v>420</v>
      </c>
    </row>
    <row r="252" spans="1:5" ht="15.75" x14ac:dyDescent="0.25">
      <c r="A252" s="616" t="s">
        <v>1132</v>
      </c>
      <c r="B252" s="256" t="s">
        <v>472</v>
      </c>
      <c r="C252" s="618">
        <v>19201800398</v>
      </c>
      <c r="D252" s="26">
        <v>61.01</v>
      </c>
      <c r="E252" s="226" t="s">
        <v>420</v>
      </c>
    </row>
    <row r="253" spans="1:5" ht="15.75" x14ac:dyDescent="0.25">
      <c r="A253" s="616" t="s">
        <v>1132</v>
      </c>
      <c r="B253" s="256" t="s">
        <v>472</v>
      </c>
      <c r="C253" s="618">
        <v>19201800363</v>
      </c>
      <c r="D253" s="26">
        <v>60.57</v>
      </c>
      <c r="E253" s="226" t="s">
        <v>420</v>
      </c>
    </row>
    <row r="254" spans="1:5" ht="15.75" x14ac:dyDescent="0.25">
      <c r="A254" s="616" t="s">
        <v>1132</v>
      </c>
      <c r="B254" s="256" t="s">
        <v>472</v>
      </c>
      <c r="C254" s="618">
        <v>19201800413</v>
      </c>
      <c r="D254" s="26">
        <v>58.46</v>
      </c>
      <c r="E254" s="226" t="s">
        <v>420</v>
      </c>
    </row>
    <row r="255" spans="1:5" ht="15.75" x14ac:dyDescent="0.25">
      <c r="A255" s="616" t="s">
        <v>1132</v>
      </c>
      <c r="B255" s="256" t="s">
        <v>472</v>
      </c>
      <c r="C255" s="618">
        <v>19201800411</v>
      </c>
      <c r="D255" s="26">
        <v>58.01</v>
      </c>
      <c r="E255" s="226" t="s">
        <v>420</v>
      </c>
    </row>
    <row r="256" spans="1:5" ht="15.75" x14ac:dyDescent="0.25">
      <c r="A256" s="616" t="s">
        <v>1132</v>
      </c>
      <c r="B256" s="256" t="s">
        <v>472</v>
      </c>
      <c r="C256" s="618">
        <v>19201800364</v>
      </c>
      <c r="D256" s="26">
        <v>57.8</v>
      </c>
      <c r="E256" s="226" t="s">
        <v>420</v>
      </c>
    </row>
    <row r="257" spans="1:5" ht="15.75" x14ac:dyDescent="0.25">
      <c r="A257" s="616" t="s">
        <v>1132</v>
      </c>
      <c r="B257" s="256" t="s">
        <v>472</v>
      </c>
      <c r="C257" s="618">
        <v>19201800355</v>
      </c>
      <c r="D257" s="26">
        <v>55.9</v>
      </c>
      <c r="E257" s="226" t="s">
        <v>420</v>
      </c>
    </row>
    <row r="258" spans="1:5" ht="15.75" x14ac:dyDescent="0.25">
      <c r="A258" s="616" t="s">
        <v>1132</v>
      </c>
      <c r="B258" s="256" t="s">
        <v>472</v>
      </c>
      <c r="C258" s="618">
        <v>19201800376</v>
      </c>
      <c r="D258" s="26">
        <v>54.57</v>
      </c>
      <c r="E258" s="226" t="s">
        <v>420</v>
      </c>
    </row>
    <row r="259" spans="1:5" ht="15.75" x14ac:dyDescent="0.25">
      <c r="A259" s="616" t="s">
        <v>1132</v>
      </c>
      <c r="B259" s="256" t="s">
        <v>472</v>
      </c>
      <c r="C259" s="618">
        <v>19201800343</v>
      </c>
      <c r="D259" s="26">
        <v>50.57</v>
      </c>
      <c r="E259" s="226" t="s">
        <v>420</v>
      </c>
    </row>
    <row r="260" spans="1:5" ht="15.75" x14ac:dyDescent="0.25">
      <c r="A260" s="616" t="s">
        <v>1132</v>
      </c>
      <c r="B260" s="256" t="s">
        <v>472</v>
      </c>
      <c r="C260" s="618">
        <v>19201800352</v>
      </c>
      <c r="D260" s="26">
        <v>49.23</v>
      </c>
      <c r="E260" s="226" t="s">
        <v>420</v>
      </c>
    </row>
    <row r="261" spans="1:5" ht="15.75" x14ac:dyDescent="0.25">
      <c r="A261" s="616" t="s">
        <v>1132</v>
      </c>
      <c r="B261" s="256" t="s">
        <v>472</v>
      </c>
      <c r="C261" s="618">
        <v>19201800348</v>
      </c>
      <c r="D261" s="26">
        <v>47.68</v>
      </c>
      <c r="E261" s="226" t="s">
        <v>420</v>
      </c>
    </row>
    <row r="262" spans="1:5" ht="15.75" x14ac:dyDescent="0.25">
      <c r="A262" s="616" t="s">
        <v>1132</v>
      </c>
      <c r="B262" s="256" t="s">
        <v>472</v>
      </c>
      <c r="C262" s="618">
        <v>19201800342</v>
      </c>
      <c r="D262" s="26">
        <v>44.46</v>
      </c>
      <c r="E262" s="226" t="s">
        <v>420</v>
      </c>
    </row>
    <row r="263" spans="1:5" ht="15.75" x14ac:dyDescent="0.25">
      <c r="A263" s="616" t="s">
        <v>1132</v>
      </c>
      <c r="B263" s="256" t="s">
        <v>472</v>
      </c>
      <c r="C263" s="618">
        <v>19201800412</v>
      </c>
      <c r="D263" s="26">
        <v>40.340000000000003</v>
      </c>
      <c r="E263" s="226" t="s">
        <v>420</v>
      </c>
    </row>
    <row r="264" spans="1:5" ht="15.75" x14ac:dyDescent="0.25">
      <c r="A264" s="616" t="s">
        <v>1132</v>
      </c>
      <c r="B264" s="256" t="s">
        <v>433</v>
      </c>
      <c r="C264" s="11">
        <v>19201800350</v>
      </c>
      <c r="D264" s="619">
        <v>79.38</v>
      </c>
      <c r="E264" s="225" t="s">
        <v>419</v>
      </c>
    </row>
    <row r="265" spans="1:5" ht="15.75" x14ac:dyDescent="0.25">
      <c r="A265" s="616" t="s">
        <v>1132</v>
      </c>
      <c r="B265" s="256" t="s">
        <v>433</v>
      </c>
      <c r="C265" s="11">
        <v>19201800394</v>
      </c>
      <c r="D265" s="619">
        <v>78.13</v>
      </c>
      <c r="E265" s="225" t="s">
        <v>419</v>
      </c>
    </row>
    <row r="266" spans="1:5" ht="15.75" x14ac:dyDescent="0.25">
      <c r="A266" s="616" t="s">
        <v>1132</v>
      </c>
      <c r="B266" s="256" t="s">
        <v>433</v>
      </c>
      <c r="C266" s="11">
        <v>19201800378</v>
      </c>
      <c r="D266" s="619">
        <v>74.510000000000005</v>
      </c>
      <c r="E266" s="225" t="s">
        <v>419</v>
      </c>
    </row>
    <row r="267" spans="1:5" ht="15.75" x14ac:dyDescent="0.25">
      <c r="A267" s="616" t="s">
        <v>1132</v>
      </c>
      <c r="B267" s="256" t="s">
        <v>433</v>
      </c>
      <c r="C267" s="11">
        <v>19201800440</v>
      </c>
      <c r="D267" s="619">
        <v>71.38</v>
      </c>
      <c r="E267" s="225" t="s">
        <v>419</v>
      </c>
    </row>
    <row r="268" spans="1:5" ht="15.75" x14ac:dyDescent="0.25">
      <c r="A268" s="616" t="s">
        <v>1132</v>
      </c>
      <c r="B268" s="256" t="s">
        <v>433</v>
      </c>
      <c r="C268" s="11">
        <v>19201800368</v>
      </c>
      <c r="D268" s="619">
        <v>70.510000000000005</v>
      </c>
      <c r="E268" s="225" t="s">
        <v>419</v>
      </c>
    </row>
    <row r="269" spans="1:5" ht="15.75" x14ac:dyDescent="0.25">
      <c r="A269" s="616" t="s">
        <v>1132</v>
      </c>
      <c r="B269" s="256" t="s">
        <v>433</v>
      </c>
      <c r="C269" s="11">
        <v>19201800384</v>
      </c>
      <c r="D269" s="619">
        <v>69.25</v>
      </c>
      <c r="E269" s="225" t="s">
        <v>419</v>
      </c>
    </row>
    <row r="270" spans="1:5" ht="15.75" x14ac:dyDescent="0.25">
      <c r="A270" s="616" t="s">
        <v>1132</v>
      </c>
      <c r="B270" s="256" t="s">
        <v>433</v>
      </c>
      <c r="C270" s="11">
        <v>19201800391</v>
      </c>
      <c r="D270" s="619">
        <v>68.75</v>
      </c>
      <c r="E270" s="225" t="s">
        <v>419</v>
      </c>
    </row>
    <row r="271" spans="1:5" ht="15.75" x14ac:dyDescent="0.25">
      <c r="A271" s="616" t="s">
        <v>1132</v>
      </c>
      <c r="B271" s="256" t="s">
        <v>433</v>
      </c>
      <c r="C271" s="618">
        <v>19201800388</v>
      </c>
      <c r="D271" s="619">
        <v>67.88</v>
      </c>
      <c r="E271" s="226" t="s">
        <v>420</v>
      </c>
    </row>
    <row r="272" spans="1:5" ht="15.75" x14ac:dyDescent="0.25">
      <c r="A272" s="616" t="s">
        <v>1132</v>
      </c>
      <c r="B272" s="256" t="s">
        <v>433</v>
      </c>
      <c r="C272" s="618">
        <v>19201800390</v>
      </c>
      <c r="D272" s="619">
        <v>67.510000000000005</v>
      </c>
      <c r="E272" s="226" t="s">
        <v>420</v>
      </c>
    </row>
    <row r="273" spans="1:5" ht="15.75" x14ac:dyDescent="0.25">
      <c r="A273" s="616" t="s">
        <v>1132</v>
      </c>
      <c r="B273" s="256" t="s">
        <v>433</v>
      </c>
      <c r="C273" s="618">
        <v>19201800381</v>
      </c>
      <c r="D273" s="619">
        <v>67.5</v>
      </c>
      <c r="E273" s="226" t="s">
        <v>420</v>
      </c>
    </row>
    <row r="274" spans="1:5" ht="15.75" x14ac:dyDescent="0.25">
      <c r="A274" s="616" t="s">
        <v>1132</v>
      </c>
      <c r="B274" s="256" t="s">
        <v>433</v>
      </c>
      <c r="C274" s="618">
        <v>19201800383</v>
      </c>
      <c r="D274" s="619">
        <v>64.63</v>
      </c>
      <c r="E274" s="226" t="s">
        <v>420</v>
      </c>
    </row>
    <row r="275" spans="1:5" ht="15.75" x14ac:dyDescent="0.25">
      <c r="A275" s="616" t="s">
        <v>1132</v>
      </c>
      <c r="B275" s="256" t="s">
        <v>433</v>
      </c>
      <c r="C275" s="618">
        <v>19201800366</v>
      </c>
      <c r="D275" s="619">
        <v>64.5</v>
      </c>
      <c r="E275" s="226" t="s">
        <v>420</v>
      </c>
    </row>
    <row r="276" spans="1:5" ht="15.75" x14ac:dyDescent="0.25">
      <c r="A276" s="616" t="s">
        <v>1132</v>
      </c>
      <c r="B276" s="256" t="s">
        <v>433</v>
      </c>
      <c r="C276" s="618">
        <v>19201800405</v>
      </c>
      <c r="D276" s="619">
        <v>64.13</v>
      </c>
      <c r="E276" s="226" t="s">
        <v>420</v>
      </c>
    </row>
    <row r="277" spans="1:5" ht="15.75" x14ac:dyDescent="0.25">
      <c r="A277" s="616" t="s">
        <v>1132</v>
      </c>
      <c r="B277" s="256" t="s">
        <v>433</v>
      </c>
      <c r="C277" s="618">
        <v>19201800353</v>
      </c>
      <c r="D277" s="619">
        <v>61.39</v>
      </c>
      <c r="E277" s="226" t="s">
        <v>420</v>
      </c>
    </row>
    <row r="278" spans="1:5" ht="15.75" x14ac:dyDescent="0.25">
      <c r="A278" s="616" t="s">
        <v>1132</v>
      </c>
      <c r="B278" s="256" t="s">
        <v>433</v>
      </c>
      <c r="C278" s="618">
        <v>19201800399</v>
      </c>
      <c r="D278" s="619">
        <v>61.01</v>
      </c>
      <c r="E278" s="226" t="s">
        <v>420</v>
      </c>
    </row>
    <row r="279" spans="1:5" ht="15.75" x14ac:dyDescent="0.25">
      <c r="A279" s="616" t="s">
        <v>1132</v>
      </c>
      <c r="B279" s="256" t="s">
        <v>433</v>
      </c>
      <c r="C279" s="618">
        <v>19201800395</v>
      </c>
      <c r="D279" s="619">
        <v>58.88</v>
      </c>
      <c r="E279" s="226" t="s">
        <v>420</v>
      </c>
    </row>
    <row r="280" spans="1:5" ht="15.75" x14ac:dyDescent="0.25">
      <c r="A280" s="697" t="s">
        <v>1195</v>
      </c>
      <c r="B280" s="698" t="s">
        <v>434</v>
      </c>
      <c r="C280" s="696">
        <v>19201900706</v>
      </c>
      <c r="D280" s="695">
        <v>78.31</v>
      </c>
      <c r="E280" s="699" t="s">
        <v>419</v>
      </c>
    </row>
    <row r="281" spans="1:5" ht="15.75" x14ac:dyDescent="0.25">
      <c r="A281" s="697" t="s">
        <v>1195</v>
      </c>
      <c r="B281" s="698" t="s">
        <v>434</v>
      </c>
      <c r="C281" s="696">
        <v>19201900700</v>
      </c>
      <c r="D281" s="695">
        <v>72.73</v>
      </c>
      <c r="E281" s="699" t="s">
        <v>419</v>
      </c>
    </row>
    <row r="282" spans="1:5" ht="15.75" x14ac:dyDescent="0.25">
      <c r="A282" s="697" t="s">
        <v>1195</v>
      </c>
      <c r="B282" s="698" t="s">
        <v>434</v>
      </c>
      <c r="C282" s="696">
        <v>19201900704</v>
      </c>
      <c r="D282" s="695">
        <v>69.59</v>
      </c>
      <c r="E282" s="699" t="s">
        <v>419</v>
      </c>
    </row>
    <row r="283" spans="1:5" ht="15.75" x14ac:dyDescent="0.25">
      <c r="A283" s="697" t="s">
        <v>1195</v>
      </c>
      <c r="B283" s="698" t="s">
        <v>434</v>
      </c>
      <c r="C283" s="696">
        <v>19201900701</v>
      </c>
      <c r="D283" s="695">
        <v>68.59</v>
      </c>
      <c r="E283" s="699" t="s">
        <v>419</v>
      </c>
    </row>
    <row r="284" spans="1:5" ht="15.75" x14ac:dyDescent="0.25">
      <c r="A284" s="697" t="s">
        <v>1195</v>
      </c>
      <c r="B284" s="698" t="s">
        <v>434</v>
      </c>
      <c r="C284" s="696">
        <v>19201900702</v>
      </c>
      <c r="D284" s="695">
        <v>68.17</v>
      </c>
      <c r="E284" s="699" t="s">
        <v>419</v>
      </c>
    </row>
    <row r="285" spans="1:5" ht="15.75" x14ac:dyDescent="0.25">
      <c r="A285" s="697" t="s">
        <v>1195</v>
      </c>
      <c r="B285" s="698" t="s">
        <v>434</v>
      </c>
      <c r="C285" s="696">
        <v>19201900707</v>
      </c>
      <c r="D285" s="695">
        <v>65.88</v>
      </c>
      <c r="E285" s="699" t="s">
        <v>419</v>
      </c>
    </row>
    <row r="286" spans="1:5" ht="15.75" x14ac:dyDescent="0.25">
      <c r="A286" s="697" t="s">
        <v>1195</v>
      </c>
      <c r="B286" s="698" t="s">
        <v>434</v>
      </c>
      <c r="C286" s="696">
        <v>19201900705</v>
      </c>
      <c r="D286" s="695">
        <v>65.73</v>
      </c>
      <c r="E286" s="699" t="s">
        <v>419</v>
      </c>
    </row>
    <row r="287" spans="1:5" ht="15.75" x14ac:dyDescent="0.25">
      <c r="A287" s="729" t="s">
        <v>1219</v>
      </c>
      <c r="B287" s="698" t="s">
        <v>472</v>
      </c>
      <c r="C287" s="2">
        <v>19201901129</v>
      </c>
      <c r="D287" s="2">
        <v>69.91</v>
      </c>
      <c r="E287" s="699" t="s">
        <v>419</v>
      </c>
    </row>
    <row r="288" spans="1:5" ht="15.75" x14ac:dyDescent="0.25">
      <c r="A288" s="729" t="s">
        <v>1219</v>
      </c>
      <c r="B288" s="698" t="s">
        <v>472</v>
      </c>
      <c r="C288" s="2">
        <v>19201901106</v>
      </c>
      <c r="D288" s="2">
        <v>64.8</v>
      </c>
      <c r="E288" s="699" t="s">
        <v>419</v>
      </c>
    </row>
    <row r="289" spans="1:5" ht="15.75" x14ac:dyDescent="0.25">
      <c r="A289" s="729" t="s">
        <v>1219</v>
      </c>
      <c r="B289" s="698" t="s">
        <v>472</v>
      </c>
      <c r="C289" s="2">
        <v>19201901105</v>
      </c>
      <c r="D289" s="2">
        <v>64.58</v>
      </c>
      <c r="E289" s="699" t="s">
        <v>419</v>
      </c>
    </row>
    <row r="290" spans="1:5" ht="15.75" x14ac:dyDescent="0.25">
      <c r="A290" s="729" t="s">
        <v>1219</v>
      </c>
      <c r="B290" s="698" t="s">
        <v>472</v>
      </c>
      <c r="C290" s="2">
        <v>19201901122</v>
      </c>
      <c r="D290" s="2">
        <v>64.36</v>
      </c>
      <c r="E290" s="699" t="s">
        <v>419</v>
      </c>
    </row>
    <row r="291" spans="1:5" ht="15.75" x14ac:dyDescent="0.25">
      <c r="A291" s="729" t="s">
        <v>1219</v>
      </c>
      <c r="B291" s="698" t="s">
        <v>472</v>
      </c>
      <c r="C291" s="2">
        <v>19201901108</v>
      </c>
      <c r="D291" s="2">
        <v>64.349999999999994</v>
      </c>
      <c r="E291" s="699" t="s">
        <v>419</v>
      </c>
    </row>
    <row r="292" spans="1:5" ht="15.75" x14ac:dyDescent="0.25">
      <c r="A292" s="729" t="s">
        <v>1219</v>
      </c>
      <c r="B292" s="698" t="s">
        <v>472</v>
      </c>
      <c r="C292" s="2">
        <v>19201901121</v>
      </c>
      <c r="D292" s="2">
        <v>64.349999999999994</v>
      </c>
      <c r="E292" s="699" t="s">
        <v>419</v>
      </c>
    </row>
    <row r="293" spans="1:5" ht="15.75" x14ac:dyDescent="0.25">
      <c r="A293" s="729" t="s">
        <v>1219</v>
      </c>
      <c r="B293" s="698" t="s">
        <v>472</v>
      </c>
      <c r="C293" s="2">
        <v>19201901126</v>
      </c>
      <c r="D293" s="2">
        <v>63.91</v>
      </c>
      <c r="E293" s="699" t="s">
        <v>419</v>
      </c>
    </row>
    <row r="294" spans="1:5" ht="15.75" x14ac:dyDescent="0.25">
      <c r="A294" s="729" t="s">
        <v>1219</v>
      </c>
      <c r="B294" s="698" t="s">
        <v>472</v>
      </c>
      <c r="C294" s="2">
        <v>19201901125</v>
      </c>
      <c r="D294" s="2">
        <v>63.58</v>
      </c>
      <c r="E294" s="699" t="s">
        <v>419</v>
      </c>
    </row>
    <row r="295" spans="1:5" ht="15.75" x14ac:dyDescent="0.25">
      <c r="A295" s="729" t="s">
        <v>1219</v>
      </c>
      <c r="B295" s="698" t="s">
        <v>472</v>
      </c>
      <c r="C295" s="2">
        <v>19201901111</v>
      </c>
      <c r="D295" s="2">
        <v>62.68</v>
      </c>
      <c r="E295" s="699" t="s">
        <v>419</v>
      </c>
    </row>
    <row r="296" spans="1:5" ht="15.75" x14ac:dyDescent="0.25">
      <c r="A296" s="729" t="s">
        <v>1219</v>
      </c>
      <c r="B296" s="698" t="s">
        <v>472</v>
      </c>
      <c r="C296" s="2">
        <v>19201901116</v>
      </c>
      <c r="D296" s="2">
        <v>62.35</v>
      </c>
      <c r="E296" s="699" t="s">
        <v>419</v>
      </c>
    </row>
    <row r="297" spans="1:5" ht="15.75" x14ac:dyDescent="0.25">
      <c r="A297" s="729" t="s">
        <v>1219</v>
      </c>
      <c r="B297" s="698" t="s">
        <v>472</v>
      </c>
      <c r="C297" s="2">
        <v>19201901099</v>
      </c>
      <c r="D297" s="2">
        <v>61.47</v>
      </c>
      <c r="E297" s="699" t="s">
        <v>419</v>
      </c>
    </row>
    <row r="298" spans="1:5" ht="15.75" x14ac:dyDescent="0.25">
      <c r="A298" s="729" t="s">
        <v>1219</v>
      </c>
      <c r="B298" s="698" t="s">
        <v>472</v>
      </c>
      <c r="C298" s="2">
        <v>19201901109</v>
      </c>
      <c r="D298" s="2">
        <v>61.36</v>
      </c>
      <c r="E298" s="699" t="s">
        <v>419</v>
      </c>
    </row>
    <row r="299" spans="1:5" ht="15.75" x14ac:dyDescent="0.25">
      <c r="A299" s="729" t="s">
        <v>1219</v>
      </c>
      <c r="B299" s="698" t="s">
        <v>472</v>
      </c>
      <c r="C299" s="2">
        <v>19201901134</v>
      </c>
      <c r="D299" s="2">
        <v>60.91</v>
      </c>
      <c r="E299" s="699" t="s">
        <v>419</v>
      </c>
    </row>
    <row r="300" spans="1:5" ht="15.75" x14ac:dyDescent="0.25">
      <c r="A300" s="729" t="s">
        <v>1219</v>
      </c>
      <c r="B300" s="698" t="s">
        <v>472</v>
      </c>
      <c r="C300" s="2">
        <v>19201901100</v>
      </c>
      <c r="D300" s="2">
        <v>60.79</v>
      </c>
      <c r="E300" s="699" t="s">
        <v>419</v>
      </c>
    </row>
    <row r="301" spans="1:5" ht="15.75" x14ac:dyDescent="0.25">
      <c r="A301" s="729" t="s">
        <v>1219</v>
      </c>
      <c r="B301" s="698" t="s">
        <v>472</v>
      </c>
      <c r="C301" s="2">
        <v>19201901124</v>
      </c>
      <c r="D301" s="2">
        <v>60.13</v>
      </c>
      <c r="E301" s="699" t="s">
        <v>419</v>
      </c>
    </row>
    <row r="302" spans="1:5" ht="15.75" x14ac:dyDescent="0.25">
      <c r="A302" s="729" t="s">
        <v>1219</v>
      </c>
      <c r="B302" s="698" t="s">
        <v>472</v>
      </c>
      <c r="C302" s="2">
        <v>19201901130</v>
      </c>
      <c r="D302" s="2">
        <v>60.13</v>
      </c>
      <c r="E302" s="699" t="s">
        <v>419</v>
      </c>
    </row>
    <row r="303" spans="1:5" ht="15.75" x14ac:dyDescent="0.25">
      <c r="A303" s="729" t="s">
        <v>1219</v>
      </c>
      <c r="B303" s="698" t="s">
        <v>472</v>
      </c>
      <c r="C303" s="2">
        <v>19201901102</v>
      </c>
      <c r="D303" s="2">
        <v>59.91</v>
      </c>
      <c r="E303" s="699" t="s">
        <v>419</v>
      </c>
    </row>
    <row r="304" spans="1:5" ht="15.75" x14ac:dyDescent="0.25">
      <c r="A304" s="729" t="s">
        <v>1219</v>
      </c>
      <c r="B304" s="698" t="s">
        <v>472</v>
      </c>
      <c r="C304" s="2">
        <v>19201901127</v>
      </c>
      <c r="D304" s="2">
        <v>59.8</v>
      </c>
      <c r="E304" s="699" t="s">
        <v>419</v>
      </c>
    </row>
    <row r="305" spans="1:5" ht="15.75" x14ac:dyDescent="0.25">
      <c r="A305" s="729" t="s">
        <v>1219</v>
      </c>
      <c r="B305" s="698" t="s">
        <v>472</v>
      </c>
      <c r="C305" s="2">
        <v>19201901114</v>
      </c>
      <c r="D305" s="2">
        <v>58.57</v>
      </c>
      <c r="E305" s="699" t="s">
        <v>419</v>
      </c>
    </row>
    <row r="306" spans="1:5" ht="15.75" x14ac:dyDescent="0.25">
      <c r="A306" s="729" t="s">
        <v>1219</v>
      </c>
      <c r="B306" s="698" t="s">
        <v>472</v>
      </c>
      <c r="C306" s="2">
        <v>19201901115</v>
      </c>
      <c r="D306" s="2">
        <v>58.46</v>
      </c>
      <c r="E306" s="699" t="s">
        <v>419</v>
      </c>
    </row>
    <row r="307" spans="1:5" ht="15.75" x14ac:dyDescent="0.25">
      <c r="A307" s="729" t="s">
        <v>1219</v>
      </c>
      <c r="B307" s="698" t="s">
        <v>472</v>
      </c>
      <c r="C307" s="2">
        <v>19201901131</v>
      </c>
      <c r="D307" s="2">
        <v>58.46</v>
      </c>
      <c r="E307" s="699" t="s">
        <v>419</v>
      </c>
    </row>
    <row r="308" spans="1:5" ht="15.75" x14ac:dyDescent="0.25">
      <c r="A308" s="729" t="s">
        <v>1219</v>
      </c>
      <c r="B308" s="698" t="s">
        <v>472</v>
      </c>
      <c r="C308" s="2">
        <v>19201901123</v>
      </c>
      <c r="D308" s="2">
        <v>58.24</v>
      </c>
      <c r="E308" s="699" t="s">
        <v>419</v>
      </c>
    </row>
    <row r="309" spans="1:5" ht="15.75" x14ac:dyDescent="0.25">
      <c r="A309" s="729" t="s">
        <v>1219</v>
      </c>
      <c r="B309" s="698" t="s">
        <v>472</v>
      </c>
      <c r="C309" s="2">
        <v>19201901133</v>
      </c>
      <c r="D309" s="2">
        <v>56.69</v>
      </c>
      <c r="E309" s="699" t="s">
        <v>419</v>
      </c>
    </row>
    <row r="310" spans="1:5" ht="15.75" x14ac:dyDescent="0.25">
      <c r="A310" s="729" t="s">
        <v>1219</v>
      </c>
      <c r="B310" s="698" t="s">
        <v>472</v>
      </c>
      <c r="C310" s="2">
        <v>19201901119</v>
      </c>
      <c r="D310" s="2">
        <v>56.46</v>
      </c>
      <c r="E310" s="699" t="s">
        <v>419</v>
      </c>
    </row>
    <row r="311" spans="1:5" ht="15.75" x14ac:dyDescent="0.25">
      <c r="A311" s="729" t="s">
        <v>1219</v>
      </c>
      <c r="B311" s="698" t="s">
        <v>472</v>
      </c>
      <c r="C311" s="2">
        <v>19201901128</v>
      </c>
      <c r="D311" s="2">
        <v>56.36</v>
      </c>
      <c r="E311" s="699" t="s">
        <v>419</v>
      </c>
    </row>
    <row r="312" spans="1:5" ht="15.75" x14ac:dyDescent="0.25">
      <c r="A312" s="729" t="s">
        <v>1219</v>
      </c>
      <c r="B312" s="698" t="s">
        <v>472</v>
      </c>
      <c r="C312" s="2">
        <v>19201901103</v>
      </c>
      <c r="D312" s="2">
        <v>55.91</v>
      </c>
      <c r="E312" s="699" t="s">
        <v>419</v>
      </c>
    </row>
    <row r="313" spans="1:5" ht="15.75" x14ac:dyDescent="0.25">
      <c r="A313" s="729" t="s">
        <v>1219</v>
      </c>
      <c r="B313" s="698" t="s">
        <v>472</v>
      </c>
      <c r="C313" s="2">
        <v>19201901110</v>
      </c>
      <c r="D313" s="2">
        <v>55.58</v>
      </c>
      <c r="E313" s="699" t="s">
        <v>419</v>
      </c>
    </row>
    <row r="314" spans="1:5" ht="15.75" x14ac:dyDescent="0.25">
      <c r="A314" s="729" t="s">
        <v>1219</v>
      </c>
      <c r="B314" s="698" t="s">
        <v>472</v>
      </c>
      <c r="C314" s="2">
        <v>19201901112</v>
      </c>
      <c r="D314" s="2">
        <v>55.57</v>
      </c>
      <c r="E314" s="699" t="s">
        <v>419</v>
      </c>
    </row>
    <row r="315" spans="1:5" ht="15.75" x14ac:dyDescent="0.25">
      <c r="A315" s="729" t="s">
        <v>1219</v>
      </c>
      <c r="B315" s="698" t="s">
        <v>472</v>
      </c>
      <c r="C315" s="2">
        <v>19201901107</v>
      </c>
      <c r="D315" s="2">
        <v>54.8</v>
      </c>
      <c r="E315" s="699" t="s">
        <v>419</v>
      </c>
    </row>
    <row r="316" spans="1:5" ht="15.75" x14ac:dyDescent="0.25">
      <c r="A316" s="729" t="s">
        <v>1219</v>
      </c>
      <c r="B316" s="698" t="s">
        <v>472</v>
      </c>
      <c r="C316" s="2">
        <v>19201901120</v>
      </c>
      <c r="D316" s="2">
        <v>54.57</v>
      </c>
      <c r="E316" s="699" t="s">
        <v>419</v>
      </c>
    </row>
    <row r="317" spans="1:5" ht="15.75" x14ac:dyDescent="0.25">
      <c r="A317" s="729" t="s">
        <v>1219</v>
      </c>
      <c r="B317" s="698" t="s">
        <v>472</v>
      </c>
      <c r="C317" s="2">
        <v>19201901132</v>
      </c>
      <c r="D317" s="2">
        <v>53.46</v>
      </c>
      <c r="E317" s="699" t="s">
        <v>419</v>
      </c>
    </row>
    <row r="318" spans="1:5" ht="15.75" x14ac:dyDescent="0.25">
      <c r="A318" s="729" t="s">
        <v>1219</v>
      </c>
      <c r="B318" s="698" t="s">
        <v>472</v>
      </c>
      <c r="C318" s="2">
        <v>19201901113</v>
      </c>
      <c r="D318" s="2">
        <v>52.46</v>
      </c>
      <c r="E318" s="699" t="s">
        <v>419</v>
      </c>
    </row>
    <row r="319" spans="1:5" ht="15.75" x14ac:dyDescent="0.25">
      <c r="A319" s="729" t="s">
        <v>1219</v>
      </c>
      <c r="B319" s="698" t="s">
        <v>472</v>
      </c>
      <c r="C319" s="2">
        <v>19201901117</v>
      </c>
      <c r="D319" s="2">
        <v>51.9</v>
      </c>
      <c r="E319" s="699" t="s">
        <v>419</v>
      </c>
    </row>
    <row r="320" spans="1:5" x14ac:dyDescent="0.25">
      <c r="A320" s="2" t="s">
        <v>1257</v>
      </c>
      <c r="B320" s="698" t="s">
        <v>434</v>
      </c>
      <c r="C320" s="2">
        <v>19202000693</v>
      </c>
      <c r="D320" s="2">
        <v>78.89</v>
      </c>
      <c r="E320" s="699" t="s">
        <v>419</v>
      </c>
    </row>
    <row r="321" spans="1:5" x14ac:dyDescent="0.25">
      <c r="A321" s="2" t="s">
        <v>1257</v>
      </c>
      <c r="B321" s="698" t="s">
        <v>434</v>
      </c>
      <c r="C321" s="2">
        <v>19202000685</v>
      </c>
      <c r="D321" s="2">
        <v>76.510000000000005</v>
      </c>
      <c r="E321" s="699" t="s">
        <v>419</v>
      </c>
    </row>
    <row r="322" spans="1:5" x14ac:dyDescent="0.25">
      <c r="A322" s="2" t="s">
        <v>1257</v>
      </c>
      <c r="B322" s="698" t="s">
        <v>434</v>
      </c>
      <c r="C322" s="2">
        <v>19202000701</v>
      </c>
      <c r="D322" s="2">
        <v>76.400000000000006</v>
      </c>
      <c r="E322" s="699" t="s">
        <v>419</v>
      </c>
    </row>
    <row r="323" spans="1:5" x14ac:dyDescent="0.25">
      <c r="A323" s="2" t="s">
        <v>1257</v>
      </c>
      <c r="B323" s="698" t="s">
        <v>434</v>
      </c>
      <c r="C323" s="2">
        <v>19202000699</v>
      </c>
      <c r="D323" s="2">
        <v>74.760000000000005</v>
      </c>
      <c r="E323" s="699" t="s">
        <v>419</v>
      </c>
    </row>
    <row r="324" spans="1:5" x14ac:dyDescent="0.25">
      <c r="A324" s="2" t="s">
        <v>1257</v>
      </c>
      <c r="B324" s="698" t="s">
        <v>434</v>
      </c>
      <c r="C324" s="2">
        <v>19202000684</v>
      </c>
      <c r="D324" s="2">
        <v>72.760000000000005</v>
      </c>
      <c r="E324" s="699" t="s">
        <v>419</v>
      </c>
    </row>
    <row r="325" spans="1:5" x14ac:dyDescent="0.25">
      <c r="A325" s="2" t="s">
        <v>1257</v>
      </c>
      <c r="B325" s="698" t="s">
        <v>434</v>
      </c>
      <c r="C325" s="2">
        <v>19202000695</v>
      </c>
      <c r="D325" s="2">
        <v>71.760000000000005</v>
      </c>
      <c r="E325" s="699" t="s">
        <v>419</v>
      </c>
    </row>
    <row r="326" spans="1:5" x14ac:dyDescent="0.25">
      <c r="A326" s="2" t="s">
        <v>1257</v>
      </c>
      <c r="B326" s="698" t="s">
        <v>434</v>
      </c>
      <c r="C326" s="2">
        <v>19202000697</v>
      </c>
      <c r="D326" s="2">
        <v>71.64</v>
      </c>
      <c r="E326" s="699" t="s">
        <v>419</v>
      </c>
    </row>
    <row r="327" spans="1:5" x14ac:dyDescent="0.25">
      <c r="A327" s="2" t="s">
        <v>1257</v>
      </c>
      <c r="B327" s="698" t="s">
        <v>434</v>
      </c>
      <c r="C327" s="2">
        <v>19202000690</v>
      </c>
      <c r="D327" s="2">
        <v>71.63</v>
      </c>
      <c r="E327" s="699" t="s">
        <v>419</v>
      </c>
    </row>
    <row r="328" spans="1:5" x14ac:dyDescent="0.25">
      <c r="A328" s="2" t="s">
        <v>1257</v>
      </c>
      <c r="B328" s="698" t="s">
        <v>434</v>
      </c>
      <c r="C328" s="2">
        <v>19202000702</v>
      </c>
      <c r="D328" s="2">
        <v>70.260000000000005</v>
      </c>
      <c r="E328" s="699" t="s">
        <v>419</v>
      </c>
    </row>
    <row r="329" spans="1:5" x14ac:dyDescent="0.25">
      <c r="A329" s="2" t="s">
        <v>1257</v>
      </c>
      <c r="B329" s="698" t="s">
        <v>434</v>
      </c>
      <c r="C329" s="2">
        <v>19202000686</v>
      </c>
      <c r="D329" s="2">
        <v>70.02</v>
      </c>
      <c r="E329" s="699" t="s">
        <v>419</v>
      </c>
    </row>
    <row r="330" spans="1:5" x14ac:dyDescent="0.25">
      <c r="A330" s="2" t="s">
        <v>1257</v>
      </c>
      <c r="B330" s="698" t="s">
        <v>434</v>
      </c>
      <c r="C330" s="2">
        <v>19202000694</v>
      </c>
      <c r="D330" s="2">
        <v>69.39</v>
      </c>
      <c r="E330" s="699" t="s">
        <v>419</v>
      </c>
    </row>
    <row r="331" spans="1:5" x14ac:dyDescent="0.25">
      <c r="A331" s="2" t="s">
        <v>1257</v>
      </c>
      <c r="B331" s="698" t="s">
        <v>434</v>
      </c>
      <c r="C331" s="2">
        <v>19202000687</v>
      </c>
      <c r="D331" s="2">
        <v>69.13</v>
      </c>
      <c r="E331" s="699" t="s">
        <v>419</v>
      </c>
    </row>
    <row r="332" spans="1:5" x14ac:dyDescent="0.25">
      <c r="A332" s="2" t="s">
        <v>1257</v>
      </c>
      <c r="B332" s="698" t="s">
        <v>434</v>
      </c>
      <c r="C332" s="2">
        <v>19202000688</v>
      </c>
      <c r="D332" s="2">
        <v>69.13</v>
      </c>
      <c r="E332" s="699" t="s">
        <v>419</v>
      </c>
    </row>
    <row r="333" spans="1:5" x14ac:dyDescent="0.25">
      <c r="A333" s="2" t="s">
        <v>1257</v>
      </c>
      <c r="B333" s="698" t="s">
        <v>434</v>
      </c>
      <c r="C333" s="2">
        <v>19202000689</v>
      </c>
      <c r="D333" s="2">
        <v>68.89</v>
      </c>
      <c r="E333" s="699" t="s">
        <v>419</v>
      </c>
    </row>
    <row r="334" spans="1:5" x14ac:dyDescent="0.25">
      <c r="A334" s="2" t="s">
        <v>1333</v>
      </c>
      <c r="B334" s="2" t="s">
        <v>1334</v>
      </c>
      <c r="C334" s="2">
        <v>19202100372</v>
      </c>
      <c r="D334" s="2">
        <v>82.24</v>
      </c>
      <c r="E334" s="699" t="s">
        <v>419</v>
      </c>
    </row>
    <row r="335" spans="1:5" x14ac:dyDescent="0.25">
      <c r="A335" s="2" t="s">
        <v>1333</v>
      </c>
      <c r="B335" s="2" t="s">
        <v>1334</v>
      </c>
      <c r="C335" s="2">
        <v>19202100363</v>
      </c>
      <c r="D335" s="2">
        <v>79.459999999999994</v>
      </c>
      <c r="E335" s="699" t="s">
        <v>419</v>
      </c>
    </row>
    <row r="336" spans="1:5" x14ac:dyDescent="0.25">
      <c r="A336" s="2" t="s">
        <v>1333</v>
      </c>
      <c r="B336" s="2" t="s">
        <v>1334</v>
      </c>
      <c r="C336" s="2">
        <v>19202100380</v>
      </c>
      <c r="D336" s="2">
        <v>77.790000000000006</v>
      </c>
      <c r="E336" s="699" t="s">
        <v>419</v>
      </c>
    </row>
    <row r="337" spans="1:7" x14ac:dyDescent="0.25">
      <c r="A337" s="2" t="s">
        <v>1333</v>
      </c>
      <c r="B337" s="2" t="s">
        <v>1334</v>
      </c>
      <c r="C337" s="2">
        <v>19202100378</v>
      </c>
      <c r="D337" s="2">
        <v>76.680000000000007</v>
      </c>
      <c r="E337" s="699" t="s">
        <v>419</v>
      </c>
    </row>
    <row r="338" spans="1:7" x14ac:dyDescent="0.25">
      <c r="A338" s="2" t="s">
        <v>1333</v>
      </c>
      <c r="B338" s="2" t="s">
        <v>1334</v>
      </c>
      <c r="C338" s="2">
        <v>19202100361</v>
      </c>
      <c r="D338" s="2">
        <v>76.12</v>
      </c>
      <c r="E338" s="699" t="s">
        <v>419</v>
      </c>
    </row>
    <row r="339" spans="1:7" x14ac:dyDescent="0.25">
      <c r="A339" s="2" t="s">
        <v>1333</v>
      </c>
      <c r="B339" s="2" t="s">
        <v>1334</v>
      </c>
      <c r="C339" s="2">
        <v>19202100376</v>
      </c>
      <c r="D339" s="2">
        <v>70.02</v>
      </c>
      <c r="E339" s="699" t="s">
        <v>419</v>
      </c>
    </row>
    <row r="340" spans="1:7" x14ac:dyDescent="0.25">
      <c r="A340" s="2" t="s">
        <v>1333</v>
      </c>
      <c r="B340" s="2" t="s">
        <v>1334</v>
      </c>
      <c r="C340" s="2">
        <v>19202100373</v>
      </c>
      <c r="D340" s="2">
        <v>64.459999999999994</v>
      </c>
      <c r="E340" s="699" t="s">
        <v>419</v>
      </c>
    </row>
    <row r="341" spans="1:7" x14ac:dyDescent="0.25">
      <c r="A341" s="2" t="s">
        <v>1333</v>
      </c>
      <c r="B341" s="2" t="s">
        <v>1334</v>
      </c>
      <c r="C341" s="2">
        <v>19202100374</v>
      </c>
      <c r="D341" s="2">
        <v>63.36</v>
      </c>
      <c r="E341" s="699" t="s">
        <v>419</v>
      </c>
    </row>
    <row r="342" spans="1:7" x14ac:dyDescent="0.25">
      <c r="A342" s="2" t="s">
        <v>1333</v>
      </c>
      <c r="B342" s="2" t="s">
        <v>1334</v>
      </c>
      <c r="C342" s="2">
        <v>19202100370</v>
      </c>
      <c r="D342" s="2">
        <v>40.020000000000003</v>
      </c>
      <c r="E342" s="699" t="s">
        <v>419</v>
      </c>
    </row>
    <row r="343" spans="1:7" x14ac:dyDescent="0.25">
      <c r="A343" s="2" t="s">
        <v>1333</v>
      </c>
      <c r="B343" s="2" t="s">
        <v>1334</v>
      </c>
      <c r="C343" s="2">
        <v>19202100377</v>
      </c>
      <c r="D343" s="2">
        <v>36.69</v>
      </c>
      <c r="E343" s="226" t="s">
        <v>420</v>
      </c>
    </row>
    <row r="344" spans="1:7" x14ac:dyDescent="0.25">
      <c r="A344" s="2" t="s">
        <v>1345</v>
      </c>
      <c r="B344" s="2" t="s">
        <v>1346</v>
      </c>
      <c r="C344" s="2">
        <v>19202100571</v>
      </c>
      <c r="D344" s="2">
        <v>80.58</v>
      </c>
      <c r="E344" s="699" t="s">
        <v>419</v>
      </c>
      <c r="F344" s="647"/>
      <c r="G344" s="647"/>
    </row>
    <row r="345" spans="1:7" x14ac:dyDescent="0.25">
      <c r="A345" s="2" t="s">
        <v>1345</v>
      </c>
      <c r="B345" s="2" t="s">
        <v>1346</v>
      </c>
      <c r="C345" s="2">
        <v>19202100558</v>
      </c>
      <c r="D345" s="2">
        <v>75.36</v>
      </c>
      <c r="E345" s="699" t="s">
        <v>419</v>
      </c>
      <c r="F345" s="647"/>
      <c r="G345" s="647"/>
    </row>
    <row r="346" spans="1:7" x14ac:dyDescent="0.25">
      <c r="A346" s="2" t="s">
        <v>1345</v>
      </c>
      <c r="B346" s="2" t="s">
        <v>1346</v>
      </c>
      <c r="C346" s="2">
        <v>19202100584</v>
      </c>
      <c r="D346" s="2">
        <v>72.02</v>
      </c>
      <c r="E346" s="699" t="s">
        <v>419</v>
      </c>
      <c r="F346" s="647"/>
      <c r="G346" s="647"/>
    </row>
    <row r="347" spans="1:7" x14ac:dyDescent="0.25">
      <c r="A347" s="2" t="s">
        <v>1345</v>
      </c>
      <c r="B347" s="2" t="s">
        <v>1346</v>
      </c>
      <c r="C347" s="2">
        <v>19202100533</v>
      </c>
      <c r="D347" s="2">
        <v>70.13</v>
      </c>
      <c r="E347" s="699" t="s">
        <v>419</v>
      </c>
      <c r="F347" s="647"/>
      <c r="G347" s="647"/>
    </row>
    <row r="348" spans="1:7" x14ac:dyDescent="0.25">
      <c r="A348" s="2" t="s">
        <v>1345</v>
      </c>
      <c r="B348" s="2" t="s">
        <v>1346</v>
      </c>
      <c r="C348" s="2">
        <v>19202100602</v>
      </c>
      <c r="D348" s="2">
        <v>69.349999999999994</v>
      </c>
      <c r="E348" s="699" t="s">
        <v>419</v>
      </c>
      <c r="F348" s="647"/>
      <c r="G348" s="647"/>
    </row>
    <row r="349" spans="1:7" x14ac:dyDescent="0.25">
      <c r="A349" s="2" t="s">
        <v>1345</v>
      </c>
      <c r="B349" s="2" t="s">
        <v>1346</v>
      </c>
      <c r="C349" s="2">
        <v>19202100566</v>
      </c>
      <c r="D349" s="2">
        <v>69.239999999999995</v>
      </c>
      <c r="E349" s="699" t="s">
        <v>419</v>
      </c>
      <c r="F349" s="647"/>
      <c r="G349" s="647"/>
    </row>
    <row r="350" spans="1:7" x14ac:dyDescent="0.25">
      <c r="A350" s="2" t="s">
        <v>1345</v>
      </c>
      <c r="B350" s="2" t="s">
        <v>1346</v>
      </c>
      <c r="C350" s="2">
        <v>19202100557</v>
      </c>
      <c r="D350" s="2">
        <v>69.13</v>
      </c>
      <c r="E350" s="699" t="s">
        <v>419</v>
      </c>
      <c r="F350" s="647"/>
      <c r="G350" s="647"/>
    </row>
    <row r="351" spans="1:7" x14ac:dyDescent="0.25">
      <c r="A351" s="2" t="s">
        <v>1345</v>
      </c>
      <c r="B351" s="2" t="s">
        <v>1346</v>
      </c>
      <c r="C351" s="2">
        <v>19202100577</v>
      </c>
      <c r="D351" s="2">
        <v>67.8</v>
      </c>
      <c r="E351" s="699" t="s">
        <v>419</v>
      </c>
      <c r="F351" s="647"/>
      <c r="G351" s="647"/>
    </row>
    <row r="352" spans="1:7" x14ac:dyDescent="0.25">
      <c r="A352" s="2" t="s">
        <v>1345</v>
      </c>
      <c r="B352" s="2" t="s">
        <v>1346</v>
      </c>
      <c r="C352" s="2">
        <v>19202100539</v>
      </c>
      <c r="D352" s="2">
        <v>66.13</v>
      </c>
      <c r="E352" s="699" t="s">
        <v>419</v>
      </c>
      <c r="F352" s="647"/>
      <c r="G352" s="647"/>
    </row>
    <row r="353" spans="1:7" x14ac:dyDescent="0.25">
      <c r="A353" s="2" t="s">
        <v>1345</v>
      </c>
      <c r="B353" s="2" t="s">
        <v>1346</v>
      </c>
      <c r="C353" s="2">
        <v>19202100567</v>
      </c>
      <c r="D353" s="2">
        <v>65.03</v>
      </c>
      <c r="E353" s="699" t="s">
        <v>419</v>
      </c>
      <c r="F353" s="647"/>
      <c r="G353" s="647"/>
    </row>
    <row r="354" spans="1:7" x14ac:dyDescent="0.25">
      <c r="A354" s="2" t="s">
        <v>1345</v>
      </c>
      <c r="B354" s="2" t="s">
        <v>1346</v>
      </c>
      <c r="C354" s="2">
        <v>19202100591</v>
      </c>
      <c r="D354" s="2">
        <v>64.8</v>
      </c>
      <c r="E354" s="699" t="s">
        <v>419</v>
      </c>
      <c r="F354" s="647"/>
      <c r="G354" s="647"/>
    </row>
    <row r="355" spans="1:7" x14ac:dyDescent="0.25">
      <c r="A355" s="2" t="s">
        <v>1345</v>
      </c>
      <c r="B355" s="2" t="s">
        <v>1346</v>
      </c>
      <c r="C355" s="2">
        <v>19202100600</v>
      </c>
      <c r="D355" s="2">
        <v>64.239999999999995</v>
      </c>
      <c r="E355" s="699" t="s">
        <v>419</v>
      </c>
      <c r="F355" s="647"/>
      <c r="G355" s="647"/>
    </row>
    <row r="356" spans="1:7" x14ac:dyDescent="0.25">
      <c r="A356" s="2" t="s">
        <v>1345</v>
      </c>
      <c r="B356" s="2" t="s">
        <v>1346</v>
      </c>
      <c r="C356" s="2">
        <v>19202100568</v>
      </c>
      <c r="D356" s="2">
        <v>63.8</v>
      </c>
      <c r="E356" s="699" t="s">
        <v>419</v>
      </c>
      <c r="F356" s="647"/>
      <c r="G356" s="647"/>
    </row>
    <row r="357" spans="1:7" x14ac:dyDescent="0.25">
      <c r="A357" s="2" t="s">
        <v>1345</v>
      </c>
      <c r="B357" s="2" t="s">
        <v>1346</v>
      </c>
      <c r="C357" s="2">
        <v>19202100556</v>
      </c>
      <c r="D357" s="2">
        <v>62.9</v>
      </c>
      <c r="E357" s="699" t="s">
        <v>419</v>
      </c>
      <c r="F357" s="647"/>
      <c r="G357" s="647"/>
    </row>
    <row r="358" spans="1:7" x14ac:dyDescent="0.25">
      <c r="A358" s="2" t="s">
        <v>1345</v>
      </c>
      <c r="B358" s="2" t="s">
        <v>1346</v>
      </c>
      <c r="C358" s="2">
        <v>19202100574</v>
      </c>
      <c r="D358" s="2">
        <v>61.46</v>
      </c>
      <c r="E358" s="699" t="s">
        <v>419</v>
      </c>
      <c r="F358" s="647"/>
      <c r="G358" s="647"/>
    </row>
    <row r="359" spans="1:7" x14ac:dyDescent="0.25">
      <c r="A359" s="2" t="s">
        <v>1345</v>
      </c>
      <c r="B359" s="2" t="s">
        <v>1346</v>
      </c>
      <c r="C359" s="2">
        <v>19202100598</v>
      </c>
      <c r="D359" s="2">
        <v>61.25</v>
      </c>
      <c r="E359" s="699" t="s">
        <v>419</v>
      </c>
      <c r="F359" s="647"/>
      <c r="G359" s="647"/>
    </row>
    <row r="360" spans="1:7" x14ac:dyDescent="0.25">
      <c r="A360" s="2" t="s">
        <v>1345</v>
      </c>
      <c r="B360" s="2" t="s">
        <v>1346</v>
      </c>
      <c r="C360" s="2">
        <v>19202100554</v>
      </c>
      <c r="D360" s="2">
        <v>61.13</v>
      </c>
      <c r="E360" s="699" t="s">
        <v>419</v>
      </c>
      <c r="F360" s="647"/>
      <c r="G360" s="647"/>
    </row>
    <row r="361" spans="1:7" x14ac:dyDescent="0.25">
      <c r="A361" s="2" t="s">
        <v>1345</v>
      </c>
      <c r="B361" s="2" t="s">
        <v>1346</v>
      </c>
      <c r="C361" s="2">
        <v>19202100596</v>
      </c>
      <c r="D361" s="2">
        <v>61.02</v>
      </c>
      <c r="E361" s="699" t="s">
        <v>419</v>
      </c>
      <c r="F361" s="647"/>
      <c r="G361" s="647"/>
    </row>
    <row r="362" spans="1:7" x14ac:dyDescent="0.25">
      <c r="A362" s="2" t="s">
        <v>1345</v>
      </c>
      <c r="B362" s="2" t="s">
        <v>1346</v>
      </c>
      <c r="C362" s="2">
        <v>19202100547</v>
      </c>
      <c r="D362" s="2">
        <v>60.79</v>
      </c>
      <c r="E362" s="699" t="s">
        <v>419</v>
      </c>
      <c r="F362" s="647"/>
      <c r="G362" s="647"/>
    </row>
    <row r="363" spans="1:7" x14ac:dyDescent="0.25">
      <c r="A363" s="2" t="s">
        <v>1345</v>
      </c>
      <c r="B363" s="2" t="s">
        <v>1346</v>
      </c>
      <c r="C363" s="2">
        <v>19202100535</v>
      </c>
      <c r="D363" s="2">
        <v>60.34</v>
      </c>
      <c r="E363" s="699" t="s">
        <v>419</v>
      </c>
      <c r="F363" s="647"/>
      <c r="G363" s="647"/>
    </row>
    <row r="364" spans="1:7" x14ac:dyDescent="0.25">
      <c r="A364" s="2" t="s">
        <v>1345</v>
      </c>
      <c r="B364" s="2" t="s">
        <v>1346</v>
      </c>
      <c r="C364" s="2">
        <v>19202100540</v>
      </c>
      <c r="D364" s="2">
        <v>59.91</v>
      </c>
      <c r="E364" s="699" t="s">
        <v>419</v>
      </c>
      <c r="F364" s="647"/>
      <c r="G364" s="647"/>
    </row>
    <row r="365" spans="1:7" x14ac:dyDescent="0.25">
      <c r="A365" s="2" t="s">
        <v>1345</v>
      </c>
      <c r="B365" s="2" t="s">
        <v>1346</v>
      </c>
      <c r="C365" s="2">
        <v>19202100590</v>
      </c>
      <c r="D365" s="2">
        <v>59.01</v>
      </c>
      <c r="E365" s="699" t="s">
        <v>419</v>
      </c>
      <c r="F365" s="647"/>
      <c r="G365" s="647"/>
    </row>
    <row r="366" spans="1:7" x14ac:dyDescent="0.25">
      <c r="A366" s="2" t="s">
        <v>1345</v>
      </c>
      <c r="B366" s="2" t="s">
        <v>1346</v>
      </c>
      <c r="C366" s="2">
        <v>19202100578</v>
      </c>
      <c r="D366" s="2">
        <v>58.46</v>
      </c>
      <c r="E366" s="699" t="s">
        <v>419</v>
      </c>
      <c r="F366" s="647"/>
      <c r="G366" s="647"/>
    </row>
    <row r="367" spans="1:7" x14ac:dyDescent="0.25">
      <c r="A367" s="2" t="s">
        <v>1345</v>
      </c>
      <c r="B367" s="2" t="s">
        <v>1346</v>
      </c>
      <c r="C367" s="2">
        <v>19202100532</v>
      </c>
      <c r="D367" s="2">
        <v>58.25</v>
      </c>
      <c r="E367" s="699" t="s">
        <v>419</v>
      </c>
      <c r="F367" s="647"/>
      <c r="G367" s="647"/>
    </row>
    <row r="368" spans="1:7" x14ac:dyDescent="0.25">
      <c r="A368" s="2" t="s">
        <v>1345</v>
      </c>
      <c r="B368" s="2" t="s">
        <v>1346</v>
      </c>
      <c r="C368" s="2">
        <v>19202100564</v>
      </c>
      <c r="D368" s="2">
        <v>58.01</v>
      </c>
      <c r="E368" s="226" t="s">
        <v>420</v>
      </c>
      <c r="F368" s="647"/>
      <c r="G368" s="647"/>
    </row>
    <row r="369" spans="1:7" x14ac:dyDescent="0.25">
      <c r="A369" s="2" t="s">
        <v>1345</v>
      </c>
      <c r="B369" s="2" t="s">
        <v>1346</v>
      </c>
      <c r="C369" s="2">
        <v>19202100575</v>
      </c>
      <c r="D369" s="2">
        <v>57.57</v>
      </c>
      <c r="E369" s="226" t="s">
        <v>420</v>
      </c>
      <c r="F369" s="647"/>
      <c r="G369" s="647"/>
    </row>
    <row r="370" spans="1:7" x14ac:dyDescent="0.25">
      <c r="A370" s="2" t="s">
        <v>1345</v>
      </c>
      <c r="B370" s="2" t="s">
        <v>1346</v>
      </c>
      <c r="C370" s="2">
        <v>19202100545</v>
      </c>
      <c r="D370" s="2">
        <v>56.56</v>
      </c>
      <c r="E370" s="226" t="s">
        <v>420</v>
      </c>
      <c r="F370" s="647"/>
      <c r="G370" s="647"/>
    </row>
    <row r="371" spans="1:7" x14ac:dyDescent="0.25">
      <c r="A371" s="2" t="s">
        <v>1345</v>
      </c>
      <c r="B371" s="2" t="s">
        <v>1346</v>
      </c>
      <c r="C371" s="2">
        <v>19202100548</v>
      </c>
      <c r="D371" s="2">
        <v>56.36</v>
      </c>
      <c r="E371" s="226" t="s">
        <v>420</v>
      </c>
      <c r="F371" s="647"/>
      <c r="G371" s="647"/>
    </row>
    <row r="372" spans="1:7" x14ac:dyDescent="0.25">
      <c r="A372" s="2" t="s">
        <v>1345</v>
      </c>
      <c r="B372" s="2" t="s">
        <v>1346</v>
      </c>
      <c r="C372" s="2">
        <v>19202100526</v>
      </c>
      <c r="D372" s="2">
        <v>56.35</v>
      </c>
      <c r="E372" s="226" t="s">
        <v>420</v>
      </c>
      <c r="F372" s="647"/>
      <c r="G372" s="647"/>
    </row>
    <row r="373" spans="1:7" x14ac:dyDescent="0.25">
      <c r="A373" s="2" t="s">
        <v>1345</v>
      </c>
      <c r="B373" s="2" t="s">
        <v>1346</v>
      </c>
      <c r="C373" s="2">
        <v>19202100570</v>
      </c>
      <c r="D373" s="2">
        <v>55.79</v>
      </c>
      <c r="E373" s="226" t="s">
        <v>420</v>
      </c>
      <c r="F373" s="647"/>
      <c r="G373" s="647"/>
    </row>
    <row r="374" spans="1:7" x14ac:dyDescent="0.25">
      <c r="A374" s="2" t="s">
        <v>1345</v>
      </c>
      <c r="B374" s="2" t="s">
        <v>1346</v>
      </c>
      <c r="C374" s="2">
        <v>19202100599</v>
      </c>
      <c r="D374" s="2">
        <v>55.79</v>
      </c>
      <c r="E374" s="226" t="s">
        <v>420</v>
      </c>
      <c r="F374" s="647"/>
      <c r="G374" s="647"/>
    </row>
    <row r="375" spans="1:7" x14ac:dyDescent="0.25">
      <c r="A375" s="2" t="s">
        <v>1345</v>
      </c>
      <c r="B375" s="2" t="s">
        <v>1346</v>
      </c>
      <c r="C375" s="2">
        <v>19202100543</v>
      </c>
      <c r="D375" s="2">
        <v>54.46</v>
      </c>
      <c r="E375" s="226" t="s">
        <v>420</v>
      </c>
      <c r="F375" s="647"/>
      <c r="G375" s="647"/>
    </row>
    <row r="376" spans="1:7" x14ac:dyDescent="0.25">
      <c r="A376" s="2" t="s">
        <v>1345</v>
      </c>
      <c r="B376" s="2" t="s">
        <v>1346</v>
      </c>
      <c r="C376" s="2">
        <v>19202100529</v>
      </c>
      <c r="D376" s="2">
        <v>54.24</v>
      </c>
      <c r="E376" s="226" t="s">
        <v>420</v>
      </c>
      <c r="F376" s="647"/>
      <c r="G376" s="647"/>
    </row>
    <row r="377" spans="1:7" x14ac:dyDescent="0.25">
      <c r="A377" s="2" t="s">
        <v>1345</v>
      </c>
      <c r="B377" s="2" t="s">
        <v>1346</v>
      </c>
      <c r="C377" s="2">
        <v>19202100582</v>
      </c>
      <c r="D377" s="2">
        <v>53.13</v>
      </c>
      <c r="E377" s="226" t="s">
        <v>420</v>
      </c>
      <c r="F377" s="647"/>
      <c r="G377" s="647"/>
    </row>
    <row r="378" spans="1:7" x14ac:dyDescent="0.25">
      <c r="A378" s="2" t="s">
        <v>1345</v>
      </c>
      <c r="B378" s="2" t="s">
        <v>1346</v>
      </c>
      <c r="C378" s="2">
        <v>19202100553</v>
      </c>
      <c r="D378" s="2">
        <v>51.9</v>
      </c>
      <c r="E378" s="226" t="s">
        <v>420</v>
      </c>
      <c r="F378" s="647"/>
      <c r="G378" s="647"/>
    </row>
    <row r="379" spans="1:7" x14ac:dyDescent="0.25">
      <c r="A379" s="2" t="s">
        <v>1345</v>
      </c>
      <c r="B379" s="2" t="s">
        <v>1346</v>
      </c>
      <c r="C379" s="2">
        <v>19202100531</v>
      </c>
      <c r="D379" s="2">
        <v>51.25</v>
      </c>
      <c r="E379" s="226" t="s">
        <v>420</v>
      </c>
      <c r="F379" s="647"/>
      <c r="G379" s="647"/>
    </row>
    <row r="380" spans="1:7" x14ac:dyDescent="0.25">
      <c r="A380" s="2" t="s">
        <v>1345</v>
      </c>
      <c r="B380" s="2" t="s">
        <v>1346</v>
      </c>
      <c r="C380" s="2">
        <v>19202100581</v>
      </c>
      <c r="D380" s="2">
        <v>50.81</v>
      </c>
      <c r="E380" s="226" t="s">
        <v>420</v>
      </c>
      <c r="F380" s="647"/>
      <c r="G380" s="647"/>
    </row>
    <row r="381" spans="1:7" x14ac:dyDescent="0.25">
      <c r="A381" s="2" t="s">
        <v>1345</v>
      </c>
      <c r="B381" s="2" t="s">
        <v>1346</v>
      </c>
      <c r="C381" s="2">
        <v>19202100563</v>
      </c>
      <c r="D381" s="2">
        <v>50.8</v>
      </c>
      <c r="E381" s="226" t="s">
        <v>420</v>
      </c>
      <c r="F381" s="647"/>
      <c r="G381" s="647"/>
    </row>
    <row r="382" spans="1:7" x14ac:dyDescent="0.25">
      <c r="A382" s="2" t="s">
        <v>1345</v>
      </c>
      <c r="B382" s="2" t="s">
        <v>1346</v>
      </c>
      <c r="C382" s="2">
        <v>19202100542</v>
      </c>
      <c r="D382" s="2">
        <v>50.24</v>
      </c>
      <c r="E382" s="226" t="s">
        <v>420</v>
      </c>
      <c r="F382" s="647"/>
      <c r="G382" s="647"/>
    </row>
    <row r="383" spans="1:7" x14ac:dyDescent="0.25">
      <c r="A383" s="2" t="s">
        <v>1345</v>
      </c>
      <c r="B383" s="2" t="s">
        <v>1346</v>
      </c>
      <c r="C383" s="2">
        <v>19202100560</v>
      </c>
      <c r="D383" s="2">
        <v>47.91</v>
      </c>
      <c r="E383" s="226" t="s">
        <v>420</v>
      </c>
      <c r="F383" s="647"/>
      <c r="G383" s="647"/>
    </row>
    <row r="384" spans="1:7" x14ac:dyDescent="0.25">
      <c r="A384" s="2" t="s">
        <v>1345</v>
      </c>
      <c r="B384" s="2" t="s">
        <v>1346</v>
      </c>
      <c r="C384" s="2">
        <v>19202100579</v>
      </c>
      <c r="D384" s="2">
        <v>47.02</v>
      </c>
      <c r="E384" s="226" t="s">
        <v>420</v>
      </c>
      <c r="F384" s="647"/>
      <c r="G384" s="647"/>
    </row>
    <row r="385" spans="1:7" x14ac:dyDescent="0.25">
      <c r="A385" s="2" t="s">
        <v>1345</v>
      </c>
      <c r="B385" s="2" t="s">
        <v>1346</v>
      </c>
      <c r="C385" s="2">
        <v>19202100538</v>
      </c>
      <c r="D385" s="2">
        <v>46.14</v>
      </c>
      <c r="E385" s="226" t="s">
        <v>420</v>
      </c>
      <c r="F385" s="647"/>
      <c r="G385" s="647"/>
    </row>
    <row r="386" spans="1:7" x14ac:dyDescent="0.25">
      <c r="A386" s="2" t="s">
        <v>1345</v>
      </c>
      <c r="B386" s="2" t="s">
        <v>1346</v>
      </c>
      <c r="C386" s="2">
        <v>19202100588</v>
      </c>
      <c r="D386" s="2">
        <v>45.8</v>
      </c>
      <c r="E386" s="226" t="s">
        <v>420</v>
      </c>
      <c r="F386" s="647"/>
      <c r="G386" s="647"/>
    </row>
    <row r="387" spans="1:7" x14ac:dyDescent="0.25">
      <c r="A387" s="2" t="s">
        <v>1345</v>
      </c>
      <c r="B387" s="2" t="s">
        <v>1346</v>
      </c>
      <c r="C387" s="2">
        <v>19202100580</v>
      </c>
      <c r="D387" s="2">
        <v>45.47</v>
      </c>
      <c r="E387" s="226" t="s">
        <v>420</v>
      </c>
      <c r="F387" s="647"/>
      <c r="G387" s="647"/>
    </row>
    <row r="388" spans="1:7" x14ac:dyDescent="0.25">
      <c r="A388" s="2" t="s">
        <v>1345</v>
      </c>
      <c r="B388" s="2" t="s">
        <v>1346</v>
      </c>
      <c r="C388" s="2">
        <v>19202100569</v>
      </c>
      <c r="D388" s="2">
        <v>45.46</v>
      </c>
      <c r="E388" s="226" t="s">
        <v>420</v>
      </c>
      <c r="F388" s="647"/>
      <c r="G388" s="647"/>
    </row>
    <row r="389" spans="1:7" x14ac:dyDescent="0.25">
      <c r="A389" s="2" t="s">
        <v>1345</v>
      </c>
      <c r="B389" s="2" t="s">
        <v>1346</v>
      </c>
      <c r="C389" s="2">
        <v>19202100549</v>
      </c>
      <c r="D389" s="2">
        <v>43.02</v>
      </c>
      <c r="E389" s="226" t="s">
        <v>420</v>
      </c>
      <c r="F389" s="647"/>
      <c r="G389" s="647"/>
    </row>
    <row r="390" spans="1:7" x14ac:dyDescent="0.25">
      <c r="A390" s="2" t="s">
        <v>1345</v>
      </c>
      <c r="B390" s="2" t="s">
        <v>1346</v>
      </c>
      <c r="C390" s="2">
        <v>19202100530</v>
      </c>
      <c r="D390" s="2">
        <v>39.9</v>
      </c>
      <c r="E390" s="226" t="s">
        <v>420</v>
      </c>
      <c r="F390" s="647"/>
      <c r="G390" s="647"/>
    </row>
    <row r="391" spans="1:7" x14ac:dyDescent="0.25">
      <c r="A391" s="2" t="s">
        <v>1345</v>
      </c>
      <c r="B391" s="2" t="s">
        <v>1346</v>
      </c>
      <c r="C391" s="2">
        <v>19202100544</v>
      </c>
      <c r="D391" s="2">
        <v>38.229999999999997</v>
      </c>
      <c r="E391" s="226" t="s">
        <v>420</v>
      </c>
      <c r="F391" s="647"/>
      <c r="G391" s="647"/>
    </row>
    <row r="392" spans="1:7" x14ac:dyDescent="0.25">
      <c r="A392" s="2" t="s">
        <v>1345</v>
      </c>
      <c r="B392" s="2" t="s">
        <v>1346</v>
      </c>
      <c r="C392" s="2">
        <v>19202100565</v>
      </c>
      <c r="D392" s="2">
        <v>0</v>
      </c>
      <c r="E392" s="226" t="s">
        <v>420</v>
      </c>
      <c r="F392" s="647"/>
      <c r="G392" s="647"/>
    </row>
    <row r="393" spans="1:7" x14ac:dyDescent="0.25">
      <c r="A393" s="2" t="s">
        <v>1345</v>
      </c>
      <c r="B393" s="2" t="s">
        <v>1347</v>
      </c>
      <c r="C393" s="2">
        <v>19202100587</v>
      </c>
      <c r="D393" s="2">
        <v>76.7</v>
      </c>
      <c r="E393" s="699" t="s">
        <v>419</v>
      </c>
      <c r="F393" s="647"/>
      <c r="G393" s="647"/>
    </row>
    <row r="394" spans="1:7" x14ac:dyDescent="0.25">
      <c r="A394" s="2" t="s">
        <v>1345</v>
      </c>
      <c r="B394" s="2" t="s">
        <v>1347</v>
      </c>
      <c r="C394" s="2">
        <v>19202100601</v>
      </c>
      <c r="D394" s="2">
        <v>74.459999999999994</v>
      </c>
      <c r="E394" s="699" t="s">
        <v>419</v>
      </c>
      <c r="F394" s="647"/>
      <c r="G394" s="647"/>
    </row>
    <row r="395" spans="1:7" x14ac:dyDescent="0.25">
      <c r="A395" s="2" t="s">
        <v>1345</v>
      </c>
      <c r="B395" s="2" t="s">
        <v>1347</v>
      </c>
      <c r="C395" s="2">
        <v>19202100583</v>
      </c>
      <c r="D395" s="2">
        <v>73.349999999999994</v>
      </c>
      <c r="E395" s="699" t="s">
        <v>419</v>
      </c>
      <c r="F395" s="647"/>
      <c r="G395" s="647"/>
    </row>
    <row r="396" spans="1:7" x14ac:dyDescent="0.25">
      <c r="A396" s="2" t="s">
        <v>1345</v>
      </c>
      <c r="B396" s="2" t="s">
        <v>1347</v>
      </c>
      <c r="C396" s="2">
        <v>19202100534</v>
      </c>
      <c r="D396" s="2">
        <v>71.680000000000007</v>
      </c>
      <c r="E396" s="699" t="s">
        <v>419</v>
      </c>
      <c r="F396" s="647"/>
      <c r="G396" s="647"/>
    </row>
    <row r="397" spans="1:7" x14ac:dyDescent="0.25">
      <c r="A397" s="2" t="s">
        <v>1345</v>
      </c>
      <c r="B397" s="2" t="s">
        <v>1347</v>
      </c>
      <c r="C397" s="2">
        <v>19202100594</v>
      </c>
      <c r="D397" s="2">
        <v>71.13</v>
      </c>
      <c r="E397" s="699" t="s">
        <v>419</v>
      </c>
      <c r="F397" s="647"/>
      <c r="G397" s="647"/>
    </row>
    <row r="398" spans="1:7" x14ac:dyDescent="0.25">
      <c r="A398" s="2" t="s">
        <v>1345</v>
      </c>
      <c r="B398" s="2" t="s">
        <v>1347</v>
      </c>
      <c r="C398" s="2">
        <v>19202100561</v>
      </c>
      <c r="D398" s="2">
        <v>70.03</v>
      </c>
      <c r="E398" s="699" t="s">
        <v>419</v>
      </c>
      <c r="F398" s="647"/>
      <c r="G398" s="647"/>
    </row>
    <row r="399" spans="1:7" x14ac:dyDescent="0.25">
      <c r="A399" s="2" t="s">
        <v>1345</v>
      </c>
      <c r="B399" s="2" t="s">
        <v>1347</v>
      </c>
      <c r="C399" s="2">
        <v>19202100573</v>
      </c>
      <c r="D399" s="2">
        <v>70.02</v>
      </c>
      <c r="E399" s="699" t="s">
        <v>419</v>
      </c>
      <c r="F399" s="647"/>
      <c r="G399" s="647"/>
    </row>
    <row r="400" spans="1:7" x14ac:dyDescent="0.25">
      <c r="A400" s="2" t="s">
        <v>1345</v>
      </c>
      <c r="B400" s="2" t="s">
        <v>1347</v>
      </c>
      <c r="C400" s="2">
        <v>19202100595</v>
      </c>
      <c r="D400" s="2">
        <v>69.47</v>
      </c>
      <c r="E400" s="699" t="s">
        <v>419</v>
      </c>
      <c r="F400" s="647"/>
      <c r="G400" s="647"/>
    </row>
    <row r="401" spans="1:7" x14ac:dyDescent="0.25">
      <c r="A401" s="2" t="s">
        <v>1345</v>
      </c>
      <c r="B401" s="2" t="s">
        <v>1347</v>
      </c>
      <c r="C401" s="2">
        <v>19202100559</v>
      </c>
      <c r="D401" s="2">
        <v>68.36</v>
      </c>
      <c r="E401" s="699" t="s">
        <v>419</v>
      </c>
      <c r="F401" s="647"/>
      <c r="G401" s="647"/>
    </row>
    <row r="402" spans="1:7" x14ac:dyDescent="0.25">
      <c r="A402" s="2" t="s">
        <v>1345</v>
      </c>
      <c r="B402" s="2" t="s">
        <v>1347</v>
      </c>
      <c r="C402" s="2">
        <v>19202100593</v>
      </c>
      <c r="D402" s="2">
        <v>68.36</v>
      </c>
      <c r="E402" s="699" t="s">
        <v>419</v>
      </c>
      <c r="F402" s="647"/>
      <c r="G402" s="647"/>
    </row>
    <row r="403" spans="1:7" x14ac:dyDescent="0.25">
      <c r="A403" s="2" t="s">
        <v>1345</v>
      </c>
      <c r="B403" s="2" t="s">
        <v>1347</v>
      </c>
      <c r="C403" s="2">
        <v>19202100536</v>
      </c>
      <c r="D403" s="2">
        <v>67.25</v>
      </c>
      <c r="E403" s="226" t="s">
        <v>420</v>
      </c>
      <c r="F403" s="647"/>
      <c r="G403" s="647"/>
    </row>
    <row r="404" spans="1:7" x14ac:dyDescent="0.25">
      <c r="A404" s="2" t="s">
        <v>1345</v>
      </c>
      <c r="B404" s="2" t="s">
        <v>1347</v>
      </c>
      <c r="C404" s="2">
        <v>19202100555</v>
      </c>
      <c r="D404" s="2">
        <v>67.25</v>
      </c>
      <c r="E404" s="699" t="s">
        <v>419</v>
      </c>
      <c r="F404" s="647"/>
      <c r="G404" s="647"/>
    </row>
    <row r="405" spans="1:7" x14ac:dyDescent="0.25">
      <c r="A405" s="2" t="s">
        <v>1345</v>
      </c>
      <c r="B405" s="2" t="s">
        <v>1347</v>
      </c>
      <c r="C405" s="2">
        <v>19202100551</v>
      </c>
      <c r="D405" s="2">
        <v>66.7</v>
      </c>
      <c r="E405" s="226" t="s">
        <v>420</v>
      </c>
      <c r="F405" s="647"/>
      <c r="G405" s="647"/>
    </row>
    <row r="406" spans="1:7" x14ac:dyDescent="0.25">
      <c r="A406" s="2" t="s">
        <v>1345</v>
      </c>
      <c r="B406" s="2" t="s">
        <v>1347</v>
      </c>
      <c r="C406" s="2">
        <v>19202100585</v>
      </c>
      <c r="D406" s="2">
        <v>65.03</v>
      </c>
      <c r="E406" s="226" t="s">
        <v>420</v>
      </c>
      <c r="F406" s="647"/>
      <c r="G406" s="647"/>
    </row>
    <row r="407" spans="1:7" x14ac:dyDescent="0.25">
      <c r="A407" s="2" t="s">
        <v>1345</v>
      </c>
      <c r="B407" s="2" t="s">
        <v>1347</v>
      </c>
      <c r="C407" s="2">
        <v>19202100589</v>
      </c>
      <c r="D407" s="2">
        <v>65.02</v>
      </c>
      <c r="E407" s="226" t="s">
        <v>420</v>
      </c>
      <c r="F407" s="647"/>
      <c r="G407" s="647"/>
    </row>
    <row r="408" spans="1:7" x14ac:dyDescent="0.25">
      <c r="A408" s="2" t="s">
        <v>1345</v>
      </c>
      <c r="B408" s="2" t="s">
        <v>1347</v>
      </c>
      <c r="C408" s="2">
        <v>19202100546</v>
      </c>
      <c r="D408" s="2">
        <v>61.68</v>
      </c>
      <c r="E408" s="226" t="s">
        <v>420</v>
      </c>
      <c r="F408" s="647"/>
      <c r="G408" s="647"/>
    </row>
    <row r="409" spans="1:7" x14ac:dyDescent="0.25">
      <c r="A409" s="2" t="s">
        <v>1345</v>
      </c>
      <c r="B409" s="2" t="s">
        <v>1347</v>
      </c>
      <c r="C409" s="2">
        <v>19202100528</v>
      </c>
      <c r="D409" s="2">
        <v>59.47</v>
      </c>
      <c r="E409" s="226" t="s">
        <v>420</v>
      </c>
      <c r="F409" s="647"/>
      <c r="G409" s="647"/>
    </row>
    <row r="410" spans="1:7" x14ac:dyDescent="0.25">
      <c r="A410" s="2" t="s">
        <v>1345</v>
      </c>
      <c r="B410" s="2" t="s">
        <v>1347</v>
      </c>
      <c r="C410" s="2">
        <v>19202100550</v>
      </c>
      <c r="D410" s="2">
        <v>59.47</v>
      </c>
      <c r="E410" s="226" t="s">
        <v>420</v>
      </c>
      <c r="F410" s="647"/>
      <c r="G410" s="647"/>
    </row>
    <row r="411" spans="1:7" x14ac:dyDescent="0.25">
      <c r="A411" s="2" t="s">
        <v>1345</v>
      </c>
      <c r="B411" s="2" t="s">
        <v>1347</v>
      </c>
      <c r="C411" s="2">
        <v>19202100562</v>
      </c>
      <c r="D411" s="2">
        <v>47.24</v>
      </c>
      <c r="E411" s="226" t="s">
        <v>420</v>
      </c>
      <c r="F411" s="647"/>
      <c r="G411" s="647"/>
    </row>
    <row r="412" spans="1:7" x14ac:dyDescent="0.25">
      <c r="A412" s="2" t="s">
        <v>1345</v>
      </c>
      <c r="B412" s="2" t="s">
        <v>1347</v>
      </c>
      <c r="C412" s="2">
        <v>19202100537</v>
      </c>
      <c r="D412" s="2">
        <v>0</v>
      </c>
      <c r="E412" s="226" t="s">
        <v>420</v>
      </c>
      <c r="F412" s="647"/>
      <c r="G412" s="647"/>
    </row>
    <row r="413" spans="1:7" x14ac:dyDescent="0.25">
      <c r="A413" s="2" t="s">
        <v>1345</v>
      </c>
      <c r="B413" s="2" t="s">
        <v>1347</v>
      </c>
      <c r="C413" s="2">
        <v>19202100572</v>
      </c>
      <c r="D413" s="2">
        <v>0</v>
      </c>
      <c r="E413" s="226" t="s">
        <v>420</v>
      </c>
      <c r="F413" s="647"/>
      <c r="G413" s="647"/>
    </row>
    <row r="414" spans="1:7" x14ac:dyDescent="0.25">
      <c r="A414" s="2" t="s">
        <v>1391</v>
      </c>
      <c r="B414" s="2" t="s">
        <v>1392</v>
      </c>
      <c r="C414" s="2">
        <v>19202101195</v>
      </c>
      <c r="D414" s="2">
        <v>85.01</v>
      </c>
      <c r="E414" s="699" t="s">
        <v>419</v>
      </c>
    </row>
    <row r="415" spans="1:7" x14ac:dyDescent="0.25">
      <c r="A415" s="2" t="s">
        <v>1391</v>
      </c>
      <c r="B415" s="2" t="s">
        <v>1392</v>
      </c>
      <c r="C415" s="2">
        <v>19202101213</v>
      </c>
      <c r="D415" s="2">
        <v>77.23</v>
      </c>
      <c r="E415" s="699" t="s">
        <v>419</v>
      </c>
    </row>
    <row r="416" spans="1:7" x14ac:dyDescent="0.25">
      <c r="A416" s="2" t="s">
        <v>1391</v>
      </c>
      <c r="B416" s="2" t="s">
        <v>1392</v>
      </c>
      <c r="C416" s="2">
        <v>19202101207</v>
      </c>
      <c r="D416" s="2">
        <v>75.010000000000005</v>
      </c>
      <c r="E416" s="699" t="s">
        <v>419</v>
      </c>
    </row>
    <row r="417" spans="1:5" x14ac:dyDescent="0.25">
      <c r="A417" s="2" t="s">
        <v>1391</v>
      </c>
      <c r="B417" s="2" t="s">
        <v>1392</v>
      </c>
      <c r="C417" s="2">
        <v>19202101197</v>
      </c>
      <c r="D417" s="2">
        <v>73.91</v>
      </c>
      <c r="E417" s="699" t="s">
        <v>419</v>
      </c>
    </row>
    <row r="418" spans="1:5" x14ac:dyDescent="0.25">
      <c r="A418" s="2" t="s">
        <v>1391</v>
      </c>
      <c r="B418" s="2" t="s">
        <v>1392</v>
      </c>
      <c r="C418" s="2">
        <v>19202101215</v>
      </c>
      <c r="D418" s="2">
        <v>73.349999999999994</v>
      </c>
      <c r="E418" s="699" t="s">
        <v>419</v>
      </c>
    </row>
    <row r="419" spans="1:5" x14ac:dyDescent="0.25">
      <c r="A419" s="2" t="s">
        <v>1391</v>
      </c>
      <c r="B419" s="2" t="s">
        <v>1392</v>
      </c>
      <c r="C419" s="2">
        <v>19202101216</v>
      </c>
      <c r="D419" s="2">
        <v>70.569999999999993</v>
      </c>
      <c r="E419" s="699" t="s">
        <v>419</v>
      </c>
    </row>
    <row r="420" spans="1:5" x14ac:dyDescent="0.25">
      <c r="A420" s="2" t="s">
        <v>1391</v>
      </c>
      <c r="B420" s="2" t="s">
        <v>1392</v>
      </c>
      <c r="C420" s="2">
        <v>19202101206</v>
      </c>
      <c r="D420" s="2">
        <v>67.239999999999995</v>
      </c>
      <c r="E420" s="699" t="s">
        <v>419</v>
      </c>
    </row>
    <row r="421" spans="1:5" x14ac:dyDescent="0.25">
      <c r="A421" s="2" t="s">
        <v>1391</v>
      </c>
      <c r="B421" s="2" t="s">
        <v>1392</v>
      </c>
      <c r="C421" s="2">
        <v>19202101196</v>
      </c>
      <c r="D421" s="2">
        <v>65.010000000000005</v>
      </c>
      <c r="E421" s="699" t="s">
        <v>419</v>
      </c>
    </row>
    <row r="422" spans="1:5" x14ac:dyDescent="0.25">
      <c r="A422" s="2" t="s">
        <v>1391</v>
      </c>
      <c r="B422" s="2" t="s">
        <v>1392</v>
      </c>
      <c r="C422" s="2">
        <v>19202101211</v>
      </c>
      <c r="D422" s="2">
        <v>61.68</v>
      </c>
      <c r="E422" s="226" t="s">
        <v>420</v>
      </c>
    </row>
    <row r="423" spans="1:5" x14ac:dyDescent="0.25">
      <c r="A423" s="2" t="s">
        <v>1391</v>
      </c>
      <c r="B423" s="2" t="s">
        <v>1392</v>
      </c>
      <c r="C423" s="2">
        <v>19202101202</v>
      </c>
      <c r="D423" s="2">
        <v>55.57</v>
      </c>
      <c r="E423" s="699" t="s">
        <v>419</v>
      </c>
    </row>
    <row r="424" spans="1:5" x14ac:dyDescent="0.25">
      <c r="A424" s="2" t="s">
        <v>1391</v>
      </c>
      <c r="B424" s="2" t="s">
        <v>1392</v>
      </c>
      <c r="C424" s="2">
        <v>19202101200</v>
      </c>
      <c r="D424" s="2">
        <v>42.23</v>
      </c>
      <c r="E424" s="226" t="s">
        <v>420</v>
      </c>
    </row>
    <row r="425" spans="1:5" x14ac:dyDescent="0.25">
      <c r="A425" t="s">
        <v>1414</v>
      </c>
      <c r="B425" t="s">
        <v>1428</v>
      </c>
      <c r="C425" s="829">
        <v>19202101348</v>
      </c>
      <c r="D425" s="829">
        <v>78.92</v>
      </c>
      <c r="E425" s="699" t="s">
        <v>419</v>
      </c>
    </row>
    <row r="426" spans="1:5" x14ac:dyDescent="0.25">
      <c r="A426" s="829" t="s">
        <v>1414</v>
      </c>
      <c r="B426" s="829" t="s">
        <v>1428</v>
      </c>
      <c r="C426" s="829">
        <v>19202101316</v>
      </c>
      <c r="D426" s="829">
        <v>73.36</v>
      </c>
      <c r="E426" s="699" t="s">
        <v>419</v>
      </c>
    </row>
    <row r="427" spans="1:5" x14ac:dyDescent="0.25">
      <c r="A427" s="829" t="s">
        <v>1414</v>
      </c>
      <c r="B427" s="829" t="s">
        <v>1428</v>
      </c>
      <c r="C427" s="829">
        <v>19202101360</v>
      </c>
      <c r="D427" s="829">
        <v>73.349999999999994</v>
      </c>
      <c r="E427" s="699" t="s">
        <v>419</v>
      </c>
    </row>
    <row r="428" spans="1:5" x14ac:dyDescent="0.25">
      <c r="A428" s="829" t="s">
        <v>1414</v>
      </c>
      <c r="B428" s="829" t="s">
        <v>1428</v>
      </c>
      <c r="C428" s="829">
        <v>19202101325</v>
      </c>
      <c r="D428" s="829">
        <v>72.8</v>
      </c>
      <c r="E428" s="699" t="s">
        <v>419</v>
      </c>
    </row>
    <row r="429" spans="1:5" x14ac:dyDescent="0.25">
      <c r="A429" s="829" t="s">
        <v>1414</v>
      </c>
      <c r="B429" s="829" t="s">
        <v>1428</v>
      </c>
      <c r="C429" s="829">
        <v>19202101333</v>
      </c>
      <c r="D429" s="829">
        <v>72.25</v>
      </c>
      <c r="E429" s="699" t="s">
        <v>419</v>
      </c>
    </row>
    <row r="430" spans="1:5" x14ac:dyDescent="0.25">
      <c r="A430" s="829" t="s">
        <v>1414</v>
      </c>
      <c r="B430" s="829" t="s">
        <v>1428</v>
      </c>
      <c r="C430" s="829">
        <v>19202101342</v>
      </c>
      <c r="D430" s="829">
        <v>71.14</v>
      </c>
      <c r="E430" s="699" t="s">
        <v>419</v>
      </c>
    </row>
    <row r="431" spans="1:5" x14ac:dyDescent="0.25">
      <c r="A431" s="829" t="s">
        <v>1414</v>
      </c>
      <c r="B431" s="829" t="s">
        <v>1428</v>
      </c>
      <c r="C431" s="829">
        <v>19202101356</v>
      </c>
      <c r="D431" s="829">
        <v>70.58</v>
      </c>
      <c r="E431" s="699" t="s">
        <v>419</v>
      </c>
    </row>
    <row r="432" spans="1:5" x14ac:dyDescent="0.25">
      <c r="A432" s="829" t="s">
        <v>1414</v>
      </c>
      <c r="B432" s="829" t="s">
        <v>1428</v>
      </c>
      <c r="C432" s="829">
        <v>19202101369</v>
      </c>
      <c r="D432" s="829">
        <v>70.58</v>
      </c>
      <c r="E432" s="699" t="s">
        <v>419</v>
      </c>
    </row>
    <row r="433" spans="1:5" x14ac:dyDescent="0.25">
      <c r="A433" s="829" t="s">
        <v>1414</v>
      </c>
      <c r="B433" s="829" t="s">
        <v>1428</v>
      </c>
      <c r="C433" s="829">
        <v>19202101280</v>
      </c>
      <c r="D433" s="829">
        <v>70.03</v>
      </c>
      <c r="E433" s="226" t="s">
        <v>420</v>
      </c>
    </row>
    <row r="434" spans="1:5" x14ac:dyDescent="0.25">
      <c r="A434" s="829" t="s">
        <v>1414</v>
      </c>
      <c r="B434" s="829" t="s">
        <v>1428</v>
      </c>
      <c r="C434" s="829">
        <v>19202101296</v>
      </c>
      <c r="D434" s="829">
        <v>69.459999999999994</v>
      </c>
      <c r="E434" s="226" t="s">
        <v>420</v>
      </c>
    </row>
    <row r="435" spans="1:5" x14ac:dyDescent="0.25">
      <c r="A435" s="829" t="s">
        <v>1414</v>
      </c>
      <c r="B435" s="829" t="s">
        <v>1428</v>
      </c>
      <c r="C435" s="829">
        <v>19202101357</v>
      </c>
      <c r="D435" s="829">
        <v>68.36</v>
      </c>
      <c r="E435" s="226" t="s">
        <v>420</v>
      </c>
    </row>
    <row r="436" spans="1:5" x14ac:dyDescent="0.25">
      <c r="A436" s="829" t="s">
        <v>1414</v>
      </c>
      <c r="B436" s="829" t="s">
        <v>1428</v>
      </c>
      <c r="C436" s="829">
        <v>19202101295</v>
      </c>
      <c r="D436" s="829">
        <v>67.8</v>
      </c>
      <c r="E436" s="226" t="s">
        <v>420</v>
      </c>
    </row>
    <row r="437" spans="1:5" x14ac:dyDescent="0.25">
      <c r="A437" s="829" t="s">
        <v>1414</v>
      </c>
      <c r="B437" s="829" t="s">
        <v>1428</v>
      </c>
      <c r="C437" s="829">
        <v>19202101338</v>
      </c>
      <c r="D437" s="829">
        <v>66.13</v>
      </c>
      <c r="E437" s="226" t="s">
        <v>420</v>
      </c>
    </row>
    <row r="438" spans="1:5" x14ac:dyDescent="0.25">
      <c r="A438" s="829" t="s">
        <v>1414</v>
      </c>
      <c r="B438" s="829" t="s">
        <v>1428</v>
      </c>
      <c r="C438" s="829">
        <v>19202101368</v>
      </c>
      <c r="D438" s="829">
        <v>66.13</v>
      </c>
      <c r="E438" s="226" t="s">
        <v>420</v>
      </c>
    </row>
    <row r="439" spans="1:5" x14ac:dyDescent="0.25">
      <c r="A439" s="829" t="s">
        <v>1414</v>
      </c>
      <c r="B439" s="829" t="s">
        <v>1428</v>
      </c>
      <c r="C439" s="829">
        <v>19202101363</v>
      </c>
      <c r="D439" s="829">
        <v>63.36</v>
      </c>
      <c r="E439" s="226" t="s">
        <v>420</v>
      </c>
    </row>
    <row r="440" spans="1:5" x14ac:dyDescent="0.25">
      <c r="A440" s="829" t="s">
        <v>1414</v>
      </c>
      <c r="B440" s="829" t="s">
        <v>1428</v>
      </c>
      <c r="C440" s="829">
        <v>19202101358</v>
      </c>
      <c r="D440" s="829">
        <v>63.35</v>
      </c>
      <c r="E440" s="226" t="s">
        <v>420</v>
      </c>
    </row>
    <row r="441" spans="1:5" x14ac:dyDescent="0.25">
      <c r="A441" s="829" t="s">
        <v>1414</v>
      </c>
      <c r="B441" s="829" t="s">
        <v>1428</v>
      </c>
      <c r="C441" s="829">
        <v>19202101272</v>
      </c>
      <c r="D441" s="829">
        <v>61.69</v>
      </c>
      <c r="E441" s="226" t="s">
        <v>420</v>
      </c>
    </row>
    <row r="442" spans="1:5" x14ac:dyDescent="0.25">
      <c r="A442" s="829" t="s">
        <v>1414</v>
      </c>
      <c r="B442" s="829" t="s">
        <v>1428</v>
      </c>
      <c r="C442" s="829">
        <v>19202101347</v>
      </c>
      <c r="D442" s="829">
        <v>61.69</v>
      </c>
      <c r="E442" s="226" t="s">
        <v>420</v>
      </c>
    </row>
    <row r="443" spans="1:5" x14ac:dyDescent="0.25">
      <c r="A443" s="829" t="s">
        <v>1414</v>
      </c>
      <c r="B443" s="829" t="s">
        <v>1428</v>
      </c>
      <c r="C443" s="829">
        <v>19202101354</v>
      </c>
      <c r="D443" s="829">
        <v>61.14</v>
      </c>
      <c r="E443" s="226" t="s">
        <v>420</v>
      </c>
    </row>
    <row r="444" spans="1:5" x14ac:dyDescent="0.25">
      <c r="A444" s="829" t="s">
        <v>1414</v>
      </c>
      <c r="B444" s="829" t="s">
        <v>1428</v>
      </c>
      <c r="C444" s="829">
        <v>19202101339</v>
      </c>
      <c r="D444" s="829">
        <v>52.8</v>
      </c>
      <c r="E444" s="226" t="s">
        <v>420</v>
      </c>
    </row>
    <row r="445" spans="1:5" x14ac:dyDescent="0.25">
      <c r="A445" s="2" t="s">
        <v>1462</v>
      </c>
      <c r="B445" s="2" t="s">
        <v>1346</v>
      </c>
      <c r="C445" s="2">
        <v>19202101512</v>
      </c>
      <c r="D445" s="2">
        <v>84.02</v>
      </c>
      <c r="E445" s="699" t="s">
        <v>419</v>
      </c>
    </row>
    <row r="446" spans="1:5" x14ac:dyDescent="0.25">
      <c r="A446" s="2" t="s">
        <v>1462</v>
      </c>
      <c r="B446" s="2" t="s">
        <v>1346</v>
      </c>
      <c r="C446" s="2">
        <v>19202101537</v>
      </c>
      <c r="D446" s="2">
        <v>76.14</v>
      </c>
      <c r="E446" s="699" t="s">
        <v>419</v>
      </c>
    </row>
    <row r="447" spans="1:5" x14ac:dyDescent="0.25">
      <c r="A447" s="2" t="s">
        <v>1462</v>
      </c>
      <c r="B447" s="2" t="s">
        <v>1346</v>
      </c>
      <c r="C447" s="2">
        <v>19202101535</v>
      </c>
      <c r="D447" s="2">
        <v>74.349999999999994</v>
      </c>
      <c r="E447" s="699" t="s">
        <v>419</v>
      </c>
    </row>
    <row r="448" spans="1:5" x14ac:dyDescent="0.25">
      <c r="A448" s="2" t="s">
        <v>1462</v>
      </c>
      <c r="B448" s="2" t="s">
        <v>1346</v>
      </c>
      <c r="C448" s="2">
        <v>19202101522</v>
      </c>
      <c r="D448" s="2">
        <v>74.239999999999995</v>
      </c>
      <c r="E448" s="699" t="s">
        <v>419</v>
      </c>
    </row>
    <row r="449" spans="1:5" x14ac:dyDescent="0.25">
      <c r="A449" s="2" t="s">
        <v>1462</v>
      </c>
      <c r="B449" s="2" t="s">
        <v>1346</v>
      </c>
      <c r="C449" s="2">
        <v>19202101504</v>
      </c>
      <c r="D449" s="2">
        <v>73.02</v>
      </c>
      <c r="E449" s="699" t="s">
        <v>419</v>
      </c>
    </row>
    <row r="450" spans="1:5" x14ac:dyDescent="0.25">
      <c r="A450" s="2" t="s">
        <v>1462</v>
      </c>
      <c r="B450" s="2" t="s">
        <v>1346</v>
      </c>
      <c r="C450" s="2">
        <v>19202101531</v>
      </c>
      <c r="D450" s="2">
        <v>72.69</v>
      </c>
      <c r="E450" s="699" t="s">
        <v>419</v>
      </c>
    </row>
    <row r="451" spans="1:5" x14ac:dyDescent="0.25">
      <c r="A451" s="2" t="s">
        <v>1462</v>
      </c>
      <c r="B451" s="2" t="s">
        <v>1346</v>
      </c>
      <c r="C451" s="2">
        <v>19202101513</v>
      </c>
      <c r="D451" s="2">
        <v>72.459999999999994</v>
      </c>
      <c r="E451" s="699" t="s">
        <v>419</v>
      </c>
    </row>
    <row r="452" spans="1:5" x14ac:dyDescent="0.25">
      <c r="A452" s="2" t="s">
        <v>1462</v>
      </c>
      <c r="B452" s="2" t="s">
        <v>1346</v>
      </c>
      <c r="C452" s="2">
        <v>19202101518</v>
      </c>
      <c r="D452" s="2">
        <v>70.239999999999995</v>
      </c>
      <c r="E452" s="226" t="s">
        <v>420</v>
      </c>
    </row>
    <row r="453" spans="1:5" x14ac:dyDescent="0.25">
      <c r="A453" s="2" t="s">
        <v>1462</v>
      </c>
      <c r="B453" s="2" t="s">
        <v>1346</v>
      </c>
      <c r="C453" s="2">
        <v>19202101528</v>
      </c>
      <c r="D453" s="2">
        <v>70.13</v>
      </c>
      <c r="E453" s="226" t="s">
        <v>420</v>
      </c>
    </row>
    <row r="454" spans="1:5" x14ac:dyDescent="0.25">
      <c r="A454" s="2" t="s">
        <v>1462</v>
      </c>
      <c r="B454" s="2" t="s">
        <v>1346</v>
      </c>
      <c r="C454" s="2">
        <v>19202101500</v>
      </c>
      <c r="D454" s="2">
        <v>69.91</v>
      </c>
      <c r="E454" s="226" t="s">
        <v>420</v>
      </c>
    </row>
    <row r="455" spans="1:5" x14ac:dyDescent="0.25">
      <c r="A455" s="2" t="s">
        <v>1462</v>
      </c>
      <c r="B455" s="2" t="s">
        <v>1346</v>
      </c>
      <c r="C455" s="2">
        <v>19202101524</v>
      </c>
      <c r="D455" s="2">
        <v>69.680000000000007</v>
      </c>
      <c r="E455" s="226" t="s">
        <v>420</v>
      </c>
    </row>
    <row r="456" spans="1:5" x14ac:dyDescent="0.25">
      <c r="A456" s="2" t="s">
        <v>1462</v>
      </c>
      <c r="B456" s="2" t="s">
        <v>1346</v>
      </c>
      <c r="C456" s="2">
        <v>19202101499</v>
      </c>
      <c r="D456" s="2">
        <v>69.13</v>
      </c>
      <c r="E456" s="226" t="s">
        <v>420</v>
      </c>
    </row>
    <row r="457" spans="1:5" x14ac:dyDescent="0.25">
      <c r="A457" s="2" t="s">
        <v>1462</v>
      </c>
      <c r="B457" s="2" t="s">
        <v>1346</v>
      </c>
      <c r="C457" s="2">
        <v>19202101508</v>
      </c>
      <c r="D457" s="2">
        <v>68.91</v>
      </c>
      <c r="E457" s="226" t="s">
        <v>420</v>
      </c>
    </row>
    <row r="458" spans="1:5" x14ac:dyDescent="0.25">
      <c r="A458" s="2" t="s">
        <v>1462</v>
      </c>
      <c r="B458" s="2" t="s">
        <v>1346</v>
      </c>
      <c r="C458" s="2">
        <v>19202101532</v>
      </c>
      <c r="D458" s="2">
        <v>68.790000000000006</v>
      </c>
      <c r="E458" s="226" t="s">
        <v>420</v>
      </c>
    </row>
    <row r="459" spans="1:5" x14ac:dyDescent="0.25">
      <c r="A459" s="2" t="s">
        <v>1462</v>
      </c>
      <c r="B459" s="2" t="s">
        <v>1346</v>
      </c>
      <c r="C459" s="2">
        <v>19202101497</v>
      </c>
      <c r="D459" s="2">
        <v>67.239999999999995</v>
      </c>
      <c r="E459" s="226" t="s">
        <v>420</v>
      </c>
    </row>
    <row r="460" spans="1:5" x14ac:dyDescent="0.25">
      <c r="A460" s="2" t="s">
        <v>1462</v>
      </c>
      <c r="B460" s="2" t="s">
        <v>1346</v>
      </c>
      <c r="C460" s="2">
        <v>19202101506</v>
      </c>
      <c r="D460" s="2">
        <v>67.03</v>
      </c>
      <c r="E460" s="226" t="s">
        <v>420</v>
      </c>
    </row>
    <row r="461" spans="1:5" x14ac:dyDescent="0.25">
      <c r="A461" s="2" t="s">
        <v>1462</v>
      </c>
      <c r="B461" s="2" t="s">
        <v>1346</v>
      </c>
      <c r="C461" s="2">
        <v>19202101536</v>
      </c>
      <c r="D461" s="2">
        <v>66.37</v>
      </c>
      <c r="E461" s="226" t="s">
        <v>420</v>
      </c>
    </row>
    <row r="462" spans="1:5" x14ac:dyDescent="0.25">
      <c r="A462" s="2" t="s">
        <v>1462</v>
      </c>
      <c r="B462" s="2" t="s">
        <v>1346</v>
      </c>
      <c r="C462" s="2">
        <v>19202101495</v>
      </c>
      <c r="D462" s="2">
        <v>66.13</v>
      </c>
      <c r="E462" s="226" t="s">
        <v>420</v>
      </c>
    </row>
    <row r="463" spans="1:5" x14ac:dyDescent="0.25">
      <c r="A463" s="2" t="s">
        <v>1462</v>
      </c>
      <c r="B463" s="2" t="s">
        <v>1346</v>
      </c>
      <c r="C463" s="2">
        <v>19202101505</v>
      </c>
      <c r="D463" s="2">
        <v>65.69</v>
      </c>
      <c r="E463" s="226" t="s">
        <v>420</v>
      </c>
    </row>
    <row r="464" spans="1:5" x14ac:dyDescent="0.25">
      <c r="A464" s="2" t="s">
        <v>1462</v>
      </c>
      <c r="B464" s="2" t="s">
        <v>1346</v>
      </c>
      <c r="C464" s="2">
        <v>19202101523</v>
      </c>
      <c r="D464" s="2">
        <v>64.7</v>
      </c>
      <c r="E464" s="226" t="s">
        <v>420</v>
      </c>
    </row>
    <row r="465" spans="1:5" x14ac:dyDescent="0.25">
      <c r="A465" s="2" t="s">
        <v>1462</v>
      </c>
      <c r="B465" s="2" t="s">
        <v>1346</v>
      </c>
      <c r="C465" s="2">
        <v>19202101527</v>
      </c>
      <c r="D465" s="2">
        <v>64.02</v>
      </c>
      <c r="E465" s="226" t="s">
        <v>420</v>
      </c>
    </row>
    <row r="466" spans="1:5" x14ac:dyDescent="0.25">
      <c r="A466" s="2" t="s">
        <v>1462</v>
      </c>
      <c r="B466" s="2" t="s">
        <v>1346</v>
      </c>
      <c r="C466" s="2">
        <v>19202101502</v>
      </c>
      <c r="D466" s="2">
        <v>63.46</v>
      </c>
      <c r="E466" s="226" t="s">
        <v>420</v>
      </c>
    </row>
    <row r="467" spans="1:5" x14ac:dyDescent="0.25">
      <c r="A467" s="2" t="s">
        <v>1462</v>
      </c>
      <c r="B467" s="2" t="s">
        <v>1346</v>
      </c>
      <c r="C467" s="2">
        <v>19202101509</v>
      </c>
      <c r="D467" s="2">
        <v>62.25</v>
      </c>
      <c r="E467" s="226" t="s">
        <v>420</v>
      </c>
    </row>
    <row r="468" spans="1:5" x14ac:dyDescent="0.25">
      <c r="A468" s="2" t="s">
        <v>1462</v>
      </c>
      <c r="B468" s="2" t="s">
        <v>1346</v>
      </c>
      <c r="C468" s="2">
        <v>19202101520</v>
      </c>
      <c r="D468" s="2">
        <v>62.25</v>
      </c>
      <c r="E468" s="226" t="s">
        <v>420</v>
      </c>
    </row>
    <row r="469" spans="1:5" x14ac:dyDescent="0.25">
      <c r="A469" s="2" t="s">
        <v>1462</v>
      </c>
      <c r="B469" s="2" t="s">
        <v>1346</v>
      </c>
      <c r="C469" s="2">
        <v>19202101514</v>
      </c>
      <c r="D469" s="2">
        <v>61.58</v>
      </c>
      <c r="E469" s="226" t="s">
        <v>420</v>
      </c>
    </row>
    <row r="470" spans="1:5" x14ac:dyDescent="0.25">
      <c r="A470" s="2" t="s">
        <v>1462</v>
      </c>
      <c r="B470" s="2" t="s">
        <v>1346</v>
      </c>
      <c r="C470" s="2">
        <v>19202101498</v>
      </c>
      <c r="D470" s="2">
        <v>61.02</v>
      </c>
      <c r="E470" s="226" t="s">
        <v>420</v>
      </c>
    </row>
    <row r="471" spans="1:5" x14ac:dyDescent="0.25">
      <c r="A471" s="2" t="s">
        <v>1462</v>
      </c>
      <c r="B471" s="2" t="s">
        <v>1346</v>
      </c>
      <c r="C471" s="2">
        <v>19202101511</v>
      </c>
      <c r="D471" s="2">
        <v>60.9</v>
      </c>
      <c r="E471" s="226" t="s">
        <v>420</v>
      </c>
    </row>
    <row r="472" spans="1:5" x14ac:dyDescent="0.25">
      <c r="A472" s="2" t="s">
        <v>1462</v>
      </c>
      <c r="B472" s="2" t="s">
        <v>1346</v>
      </c>
      <c r="C472" s="2">
        <v>19202101503</v>
      </c>
      <c r="D472" s="2">
        <v>60.34</v>
      </c>
      <c r="E472" s="226" t="s">
        <v>420</v>
      </c>
    </row>
    <row r="473" spans="1:5" x14ac:dyDescent="0.25">
      <c r="A473" s="2" t="s">
        <v>1462</v>
      </c>
      <c r="B473" s="2" t="s">
        <v>1346</v>
      </c>
      <c r="C473" s="2">
        <v>19202101501</v>
      </c>
      <c r="D473" s="2">
        <v>58.79</v>
      </c>
      <c r="E473" s="226" t="s">
        <v>420</v>
      </c>
    </row>
    <row r="474" spans="1:5" x14ac:dyDescent="0.25">
      <c r="A474" s="2" t="s">
        <v>1462</v>
      </c>
      <c r="B474" s="2" t="s">
        <v>1346</v>
      </c>
      <c r="C474" s="2">
        <v>19202101533</v>
      </c>
      <c r="D474" s="2">
        <v>57.9</v>
      </c>
      <c r="E474" s="226" t="s">
        <v>420</v>
      </c>
    </row>
    <row r="475" spans="1:5" x14ac:dyDescent="0.25">
      <c r="A475" s="2" t="s">
        <v>1462</v>
      </c>
      <c r="B475" s="2" t="s">
        <v>1346</v>
      </c>
      <c r="C475" s="2">
        <v>19202101494</v>
      </c>
      <c r="D475" s="2">
        <v>55.46</v>
      </c>
      <c r="E475" s="226" t="s">
        <v>420</v>
      </c>
    </row>
    <row r="476" spans="1:5" x14ac:dyDescent="0.25">
      <c r="A476" s="2" t="s">
        <v>1462</v>
      </c>
      <c r="B476" s="2" t="s">
        <v>1346</v>
      </c>
      <c r="C476" s="2">
        <v>19202101521</v>
      </c>
      <c r="D476" s="2">
        <v>54.01</v>
      </c>
      <c r="E476" s="226" t="s">
        <v>420</v>
      </c>
    </row>
    <row r="477" spans="1:5" x14ac:dyDescent="0.25">
      <c r="A477" s="2" t="s">
        <v>1462</v>
      </c>
      <c r="B477" s="2" t="s">
        <v>1346</v>
      </c>
      <c r="C477" s="2">
        <v>19202101530</v>
      </c>
      <c r="D477" s="2">
        <v>52.01</v>
      </c>
      <c r="E477" s="226" t="s">
        <v>420</v>
      </c>
    </row>
    <row r="478" spans="1:5" x14ac:dyDescent="0.25">
      <c r="A478" s="2" t="s">
        <v>1462</v>
      </c>
      <c r="B478" s="2" t="s">
        <v>1346</v>
      </c>
      <c r="C478" s="2">
        <v>19202101496</v>
      </c>
      <c r="D478" s="2">
        <v>49.8</v>
      </c>
      <c r="E478" s="226" t="s">
        <v>420</v>
      </c>
    </row>
    <row r="479" spans="1:5" x14ac:dyDescent="0.25">
      <c r="A479" s="2" t="s">
        <v>1462</v>
      </c>
      <c r="B479" s="2" t="s">
        <v>1346</v>
      </c>
      <c r="C479" s="2">
        <v>19202101507</v>
      </c>
      <c r="D479" s="2">
        <v>49.03</v>
      </c>
      <c r="E479" s="226" t="s">
        <v>420</v>
      </c>
    </row>
    <row r="480" spans="1:5" x14ac:dyDescent="0.25">
      <c r="A480" s="2" t="s">
        <v>1462</v>
      </c>
      <c r="B480" s="2" t="s">
        <v>1346</v>
      </c>
      <c r="C480" s="2">
        <v>19202101534</v>
      </c>
      <c r="D480" s="2">
        <v>47.9</v>
      </c>
      <c r="E480" s="226" t="s">
        <v>420</v>
      </c>
    </row>
    <row r="481" spans="1:5" x14ac:dyDescent="0.25">
      <c r="A481" s="2" t="s">
        <v>1462</v>
      </c>
      <c r="B481" s="829" t="s">
        <v>1463</v>
      </c>
      <c r="C481" s="2">
        <v>19202101538</v>
      </c>
      <c r="D481" s="2">
        <v>75.349999999999994</v>
      </c>
      <c r="E481" s="699" t="s">
        <v>419</v>
      </c>
    </row>
    <row r="482" spans="1:5" x14ac:dyDescent="0.25">
      <c r="A482" s="2" t="s">
        <v>1462</v>
      </c>
      <c r="B482" s="2" t="s">
        <v>1463</v>
      </c>
      <c r="C482" s="2">
        <v>19202101525</v>
      </c>
      <c r="D482" s="2">
        <v>73.58</v>
      </c>
      <c r="E482" s="699" t="s">
        <v>419</v>
      </c>
    </row>
    <row r="483" spans="1:5" x14ac:dyDescent="0.25">
      <c r="A483" s="2" t="s">
        <v>1462</v>
      </c>
      <c r="B483" s="2" t="s">
        <v>1463</v>
      </c>
      <c r="C483" s="2">
        <v>19202101510</v>
      </c>
      <c r="D483" s="2">
        <v>72.8</v>
      </c>
      <c r="E483" s="699" t="s">
        <v>419</v>
      </c>
    </row>
    <row r="484" spans="1:5" x14ac:dyDescent="0.25">
      <c r="A484" s="2" t="s">
        <v>1462</v>
      </c>
      <c r="B484" s="2" t="s">
        <v>1463</v>
      </c>
      <c r="C484" s="2">
        <v>19202101493</v>
      </c>
      <c r="D484" s="2">
        <v>72.239999999999995</v>
      </c>
      <c r="E484" s="699" t="s">
        <v>419</v>
      </c>
    </row>
    <row r="485" spans="1:5" x14ac:dyDescent="0.25">
      <c r="A485" s="2" t="s">
        <v>1462</v>
      </c>
      <c r="B485" s="2" t="s">
        <v>1463</v>
      </c>
      <c r="C485" s="2">
        <v>19202101526</v>
      </c>
      <c r="D485" s="2">
        <v>70.67</v>
      </c>
      <c r="E485" s="699" t="s">
        <v>419</v>
      </c>
    </row>
    <row r="486" spans="1:5" x14ac:dyDescent="0.25">
      <c r="A486" s="2" t="s">
        <v>1462</v>
      </c>
      <c r="B486" s="2" t="s">
        <v>1463</v>
      </c>
      <c r="C486" s="2">
        <v>19202101519</v>
      </c>
      <c r="D486" s="2">
        <v>70.459999999999994</v>
      </c>
      <c r="E486" s="699" t="s">
        <v>419</v>
      </c>
    </row>
    <row r="487" spans="1:5" x14ac:dyDescent="0.25">
      <c r="A487" s="2" t="s">
        <v>1462</v>
      </c>
      <c r="B487" s="2" t="s">
        <v>1463</v>
      </c>
      <c r="C487" s="2">
        <v>19202101517</v>
      </c>
      <c r="D487" s="2">
        <v>69.13</v>
      </c>
      <c r="E487" s="699" t="s">
        <v>419</v>
      </c>
    </row>
    <row r="488" spans="1:5" x14ac:dyDescent="0.25">
      <c r="A488" s="2" t="s">
        <v>1462</v>
      </c>
      <c r="B488" s="2" t="s">
        <v>1463</v>
      </c>
      <c r="C488" s="2">
        <v>19202101539</v>
      </c>
      <c r="D488" s="2">
        <v>68.14</v>
      </c>
      <c r="E488" s="699" t="s">
        <v>419</v>
      </c>
    </row>
    <row r="489" spans="1:5" x14ac:dyDescent="0.25">
      <c r="A489" s="2" t="s">
        <v>1462</v>
      </c>
      <c r="B489" s="2" t="s">
        <v>1463</v>
      </c>
      <c r="C489" s="2">
        <v>19202101515</v>
      </c>
      <c r="D489" s="2">
        <v>58.81</v>
      </c>
      <c r="E489" s="226" t="s">
        <v>420</v>
      </c>
    </row>
    <row r="490" spans="1:5" x14ac:dyDescent="0.25">
      <c r="A490" s="843" t="s">
        <v>1560</v>
      </c>
      <c r="B490" s="843" t="s">
        <v>1561</v>
      </c>
      <c r="C490" s="843">
        <v>19202200464</v>
      </c>
      <c r="D490" s="843">
        <v>80.58</v>
      </c>
      <c r="E490" s="699" t="s">
        <v>419</v>
      </c>
    </row>
    <row r="491" spans="1:5" x14ac:dyDescent="0.25">
      <c r="A491" s="843" t="s">
        <v>1560</v>
      </c>
      <c r="B491" s="843" t="s">
        <v>1561</v>
      </c>
      <c r="C491" s="843">
        <v>19202200472</v>
      </c>
      <c r="D491" s="843">
        <v>75.02</v>
      </c>
      <c r="E491" s="699" t="s">
        <v>419</v>
      </c>
    </row>
    <row r="492" spans="1:5" x14ac:dyDescent="0.25">
      <c r="A492" s="843" t="s">
        <v>1560</v>
      </c>
      <c r="B492" s="843" t="s">
        <v>1561</v>
      </c>
      <c r="C492" s="843">
        <v>19202200473</v>
      </c>
      <c r="D492" s="843">
        <v>75.010000000000005</v>
      </c>
      <c r="E492" s="699" t="s">
        <v>419</v>
      </c>
    </row>
    <row r="493" spans="1:5" x14ac:dyDescent="0.25">
      <c r="A493" s="843" t="s">
        <v>1560</v>
      </c>
      <c r="B493" s="843" t="s">
        <v>1561</v>
      </c>
      <c r="C493" s="843">
        <v>19202200466</v>
      </c>
      <c r="D493" s="843">
        <v>70.569999999999993</v>
      </c>
      <c r="E493" s="699" t="s">
        <v>419</v>
      </c>
    </row>
    <row r="494" spans="1:5" x14ac:dyDescent="0.25">
      <c r="A494" s="843" t="s">
        <v>1560</v>
      </c>
      <c r="B494" s="843" t="s">
        <v>1561</v>
      </c>
      <c r="C494" s="843">
        <v>19202200460</v>
      </c>
      <c r="D494" s="843">
        <v>67.239999999999995</v>
      </c>
      <c r="E494" s="699" t="s">
        <v>419</v>
      </c>
    </row>
    <row r="495" spans="1:5" x14ac:dyDescent="0.25">
      <c r="A495" s="843" t="s">
        <v>1560</v>
      </c>
      <c r="B495" s="843" t="s">
        <v>1561</v>
      </c>
      <c r="C495" s="843">
        <v>19202200468</v>
      </c>
      <c r="D495" s="843">
        <v>66.680000000000007</v>
      </c>
      <c r="E495" s="845" t="s">
        <v>420</v>
      </c>
    </row>
    <row r="496" spans="1:5" x14ac:dyDescent="0.25">
      <c r="A496" s="843" t="s">
        <v>1560</v>
      </c>
      <c r="B496" s="843" t="s">
        <v>1561</v>
      </c>
      <c r="C496" s="843">
        <v>19202200458</v>
      </c>
      <c r="D496" s="843">
        <v>65.569999999999993</v>
      </c>
      <c r="E496" s="845" t="s">
        <v>420</v>
      </c>
    </row>
    <row r="497" spans="1:5" x14ac:dyDescent="0.25">
      <c r="A497" s="843" t="s">
        <v>1560</v>
      </c>
      <c r="B497" s="843" t="s">
        <v>1561</v>
      </c>
      <c r="C497" s="843">
        <v>19202200459</v>
      </c>
      <c r="D497" s="843">
        <v>64.459999999999994</v>
      </c>
      <c r="E497" s="845" t="s">
        <v>420</v>
      </c>
    </row>
    <row r="498" spans="1:5" x14ac:dyDescent="0.25">
      <c r="A498" s="843" t="s">
        <v>1560</v>
      </c>
      <c r="B498" s="843" t="s">
        <v>1561</v>
      </c>
      <c r="C498" s="843">
        <v>19202200463</v>
      </c>
      <c r="D498" s="843">
        <v>62.24</v>
      </c>
      <c r="E498" s="845" t="s">
        <v>420</v>
      </c>
    </row>
    <row r="499" spans="1:5" x14ac:dyDescent="0.25">
      <c r="A499" s="843" t="s">
        <v>1560</v>
      </c>
      <c r="B499" s="843" t="s">
        <v>1561</v>
      </c>
      <c r="C499" s="843">
        <v>19202200467</v>
      </c>
      <c r="D499" s="843">
        <v>61.68</v>
      </c>
      <c r="E499" s="845" t="s">
        <v>420</v>
      </c>
    </row>
    <row r="500" spans="1:5" x14ac:dyDescent="0.25">
      <c r="A500" s="843" t="s">
        <v>1560</v>
      </c>
      <c r="B500" s="843" t="s">
        <v>1561</v>
      </c>
      <c r="C500" s="843">
        <v>19202200474</v>
      </c>
      <c r="D500" s="843">
        <v>58.35</v>
      </c>
      <c r="E500" s="845" t="s">
        <v>420</v>
      </c>
    </row>
    <row r="501" spans="1:5" x14ac:dyDescent="0.25">
      <c r="A501" s="843" t="s">
        <v>1560</v>
      </c>
      <c r="B501" s="843" t="s">
        <v>1561</v>
      </c>
      <c r="C501" s="843">
        <v>19202200476</v>
      </c>
      <c r="D501" s="843">
        <v>58.35</v>
      </c>
      <c r="E501" s="845" t="s">
        <v>420</v>
      </c>
    </row>
    <row r="502" spans="1:5" x14ac:dyDescent="0.25">
      <c r="A502" s="843" t="s">
        <v>1560</v>
      </c>
      <c r="B502" s="843" t="s">
        <v>1561</v>
      </c>
      <c r="C502" s="843">
        <v>19202200475</v>
      </c>
      <c r="D502" s="843">
        <v>57.25</v>
      </c>
      <c r="E502" s="845" t="s">
        <v>420</v>
      </c>
    </row>
    <row r="503" spans="1:5" x14ac:dyDescent="0.25">
      <c r="A503" s="843" t="s">
        <v>1560</v>
      </c>
      <c r="B503" s="843" t="s">
        <v>1561</v>
      </c>
      <c r="C503" s="843">
        <v>19202200457</v>
      </c>
      <c r="D503" s="843">
        <v>54.46</v>
      </c>
      <c r="E503" s="845" t="s">
        <v>420</v>
      </c>
    </row>
    <row r="504" spans="1:5" x14ac:dyDescent="0.25">
      <c r="A504" s="843" t="s">
        <v>1560</v>
      </c>
      <c r="B504" s="843" t="s">
        <v>1561</v>
      </c>
      <c r="C504" s="843">
        <v>19202200469</v>
      </c>
      <c r="D504" s="843">
        <v>52.8</v>
      </c>
      <c r="E504" s="845" t="s">
        <v>420</v>
      </c>
    </row>
    <row r="505" spans="1:5" x14ac:dyDescent="0.25">
      <c r="A505" s="843" t="s">
        <v>1560</v>
      </c>
      <c r="B505" s="843" t="s">
        <v>1561</v>
      </c>
      <c r="C505" s="843">
        <v>19202200465</v>
      </c>
      <c r="D505" s="843">
        <v>52.79</v>
      </c>
      <c r="E505" s="845" t="s">
        <v>420</v>
      </c>
    </row>
    <row r="506" spans="1:5" x14ac:dyDescent="0.25">
      <c r="A506" s="843" t="s">
        <v>1560</v>
      </c>
      <c r="B506" s="843" t="s">
        <v>1561</v>
      </c>
      <c r="C506" s="843">
        <v>19202200471</v>
      </c>
      <c r="D506" s="843">
        <v>52.79</v>
      </c>
      <c r="E506" s="845" t="s">
        <v>420</v>
      </c>
    </row>
    <row r="507" spans="1:5" x14ac:dyDescent="0.25">
      <c r="A507" s="843" t="s">
        <v>1560</v>
      </c>
      <c r="B507" s="843" t="s">
        <v>1561</v>
      </c>
      <c r="C507" s="843">
        <v>19202200462</v>
      </c>
      <c r="D507" s="843">
        <v>48.9</v>
      </c>
      <c r="E507" s="845" t="s">
        <v>420</v>
      </c>
    </row>
  </sheetData>
  <mergeCells count="1">
    <mergeCell ref="A1:E1"/>
  </mergeCells>
  <hyperlinks>
    <hyperlink ref="C280" r:id="rId1" location="/router?komponent=taotlus&amp;id=655783&amp;kuva=ava" display="https://pms.arib.pria.ee/pms-menetlus/ - /router?komponent=taotlus&amp;id=655783&amp;kuva=ava"/>
    <hyperlink ref="C281" r:id="rId2" location="/router?komponent=taotlus&amp;id=656015&amp;kuva=ava" display="https://pms.arib.pria.ee/pms-menetlus/ - /router?komponent=taotlus&amp;id=656015&amp;kuva=ava"/>
    <hyperlink ref="C282" r:id="rId3" location="/router?komponent=taotlus&amp;id=658290&amp;kuva=ava" display="https://pms.arib.pria.ee/pms-menetlus/ - /router?komponent=taotlus&amp;id=658290&amp;kuva=ava"/>
    <hyperlink ref="C283" r:id="rId4" location="/router?komponent=taotlus&amp;id=656360&amp;kuva=ava" display="https://pms.arib.pria.ee/pms-menetlus/ - /router?komponent=taotlus&amp;id=656360&amp;kuva=ava"/>
    <hyperlink ref="C284" r:id="rId5" location="/router?komponent=taotlus&amp;id=655419&amp;kuva=ava" display="https://pms.arib.pria.ee/pms-menetlus/ - /router?komponent=taotlus&amp;id=655419&amp;kuva=ava"/>
    <hyperlink ref="C285" r:id="rId6" location="/router?komponent=taotlus&amp;id=658485&amp;kuva=ava" display="https://pms.arib.pria.ee/pms-menetlus/ - /router?komponent=taotlus&amp;id=658485&amp;kuva=ava"/>
    <hyperlink ref="C286" r:id="rId7" location="/router?komponent=taotlus&amp;id=656287&amp;kuva=ava" display="https://pms.arib.pria.ee/pms-menetlus/ - /router?komponent=taotlus&amp;id=656287&amp;kuva=ava"/>
  </hyperlinks>
  <pageMargins left="0.7" right="0.7" top="0.75" bottom="0.75" header="0.3" footer="0.3"/>
  <pageSetup paperSize="9" orientation="portrait" r:id="rId8"/>
  <ignoredErrors>
    <ignoredError sqref="C37:C4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"/>
  <sheetViews>
    <sheetView workbookViewId="0">
      <pane ySplit="2" topLeftCell="A385" activePane="bottomLeft" state="frozen"/>
      <selection pane="bottomLeft" activeCell="G390" sqref="G390"/>
    </sheetView>
  </sheetViews>
  <sheetFormatPr defaultRowHeight="15" x14ac:dyDescent="0.25"/>
  <cols>
    <col min="1" max="1" width="21.140625" bestFit="1" customWidth="1"/>
    <col min="2" max="2" width="74.140625" customWidth="1"/>
    <col min="3" max="3" width="23.140625" customWidth="1"/>
    <col min="4" max="4" width="20.85546875" customWidth="1"/>
    <col min="5" max="6" width="17.85546875" customWidth="1"/>
    <col min="7" max="7" width="22" customWidth="1"/>
  </cols>
  <sheetData>
    <row r="1" spans="1:7" ht="16.5" thickBot="1" x14ac:dyDescent="0.3">
      <c r="A1" s="855" t="s">
        <v>27</v>
      </c>
      <c r="B1" s="855"/>
      <c r="C1" s="855"/>
      <c r="D1" s="855"/>
      <c r="E1" s="855"/>
      <c r="F1" s="855"/>
      <c r="G1" s="291" t="s">
        <v>629</v>
      </c>
    </row>
    <row r="2" spans="1:7" ht="15.75" thickBot="1" x14ac:dyDescent="0.3">
      <c r="A2" s="287" t="s">
        <v>6</v>
      </c>
      <c r="B2" s="288" t="s">
        <v>2</v>
      </c>
      <c r="C2" s="289" t="s">
        <v>0</v>
      </c>
      <c r="D2" s="290" t="s">
        <v>1</v>
      </c>
      <c r="E2" s="283" t="s">
        <v>464</v>
      </c>
      <c r="F2" s="283" t="s">
        <v>577</v>
      </c>
    </row>
    <row r="3" spans="1:7" x14ac:dyDescent="0.25">
      <c r="A3" s="35" t="s">
        <v>273</v>
      </c>
      <c r="B3" s="99" t="s">
        <v>274</v>
      </c>
      <c r="C3" s="37" t="s">
        <v>284</v>
      </c>
      <c r="D3" s="38">
        <v>3.46</v>
      </c>
      <c r="E3" s="213" t="s">
        <v>419</v>
      </c>
      <c r="F3" s="284" t="s">
        <v>578</v>
      </c>
    </row>
    <row r="4" spans="1:7" x14ac:dyDescent="0.25">
      <c r="A4" s="40" t="s">
        <v>273</v>
      </c>
      <c r="B4" s="29" t="s">
        <v>274</v>
      </c>
      <c r="C4" s="14" t="s">
        <v>275</v>
      </c>
      <c r="D4" s="9">
        <v>3</v>
      </c>
      <c r="E4" s="214" t="s">
        <v>419</v>
      </c>
      <c r="F4" s="285" t="s">
        <v>579</v>
      </c>
    </row>
    <row r="5" spans="1:7" x14ac:dyDescent="0.25">
      <c r="A5" s="40" t="s">
        <v>273</v>
      </c>
      <c r="B5" s="29" t="s">
        <v>274</v>
      </c>
      <c r="C5" s="5" t="s">
        <v>277</v>
      </c>
      <c r="D5" s="9">
        <v>2.86</v>
      </c>
      <c r="E5" s="214" t="s">
        <v>419</v>
      </c>
      <c r="F5" s="285" t="s">
        <v>580</v>
      </c>
    </row>
    <row r="6" spans="1:7" x14ac:dyDescent="0.25">
      <c r="A6" s="40" t="s">
        <v>273</v>
      </c>
      <c r="B6" s="29" t="s">
        <v>274</v>
      </c>
      <c r="C6" s="5" t="s">
        <v>286</v>
      </c>
      <c r="D6" s="9">
        <v>2.68</v>
      </c>
      <c r="E6" s="214" t="s">
        <v>419</v>
      </c>
      <c r="F6" s="285" t="s">
        <v>581</v>
      </c>
    </row>
    <row r="7" spans="1:7" x14ac:dyDescent="0.25">
      <c r="A7" s="40" t="s">
        <v>273</v>
      </c>
      <c r="B7" s="29" t="s">
        <v>274</v>
      </c>
      <c r="C7" s="5" t="s">
        <v>287</v>
      </c>
      <c r="D7" s="9">
        <v>2.63</v>
      </c>
      <c r="E7" s="214" t="s">
        <v>419</v>
      </c>
      <c r="F7" s="285" t="s">
        <v>582</v>
      </c>
    </row>
    <row r="8" spans="1:7" x14ac:dyDescent="0.25">
      <c r="A8" s="40" t="s">
        <v>273</v>
      </c>
      <c r="B8" s="29" t="s">
        <v>274</v>
      </c>
      <c r="C8" s="5" t="s">
        <v>282</v>
      </c>
      <c r="D8" s="9">
        <v>2.6</v>
      </c>
      <c r="E8" s="214" t="s">
        <v>419</v>
      </c>
      <c r="F8" s="285" t="s">
        <v>583</v>
      </c>
    </row>
    <row r="9" spans="1:7" x14ac:dyDescent="0.25">
      <c r="A9" s="40" t="s">
        <v>273</v>
      </c>
      <c r="B9" s="29" t="s">
        <v>274</v>
      </c>
      <c r="C9" s="5" t="s">
        <v>285</v>
      </c>
      <c r="D9" s="9">
        <v>2.6</v>
      </c>
      <c r="E9" s="214" t="s">
        <v>419</v>
      </c>
      <c r="F9" s="285" t="s">
        <v>584</v>
      </c>
    </row>
    <row r="10" spans="1:7" x14ac:dyDescent="0.25">
      <c r="A10" s="40" t="s">
        <v>273</v>
      </c>
      <c r="B10" s="29" t="s">
        <v>274</v>
      </c>
      <c r="C10" s="5" t="s">
        <v>288</v>
      </c>
      <c r="D10" s="9">
        <v>2.58</v>
      </c>
      <c r="E10" s="214" t="s">
        <v>419</v>
      </c>
      <c r="F10" s="285" t="s">
        <v>585</v>
      </c>
    </row>
    <row r="11" spans="1:7" x14ac:dyDescent="0.25">
      <c r="A11" s="40" t="s">
        <v>273</v>
      </c>
      <c r="B11" s="29" t="s">
        <v>274</v>
      </c>
      <c r="C11" s="5" t="s">
        <v>280</v>
      </c>
      <c r="D11" s="9">
        <v>2.56</v>
      </c>
      <c r="E11" s="214" t="s">
        <v>419</v>
      </c>
      <c r="F11" s="285" t="s">
        <v>586</v>
      </c>
    </row>
    <row r="12" spans="1:7" x14ac:dyDescent="0.25">
      <c r="A12" s="40" t="s">
        <v>273</v>
      </c>
      <c r="B12" s="29" t="s">
        <v>274</v>
      </c>
      <c r="C12" s="5" t="s">
        <v>279</v>
      </c>
      <c r="D12" s="9">
        <v>2.5299999999999998</v>
      </c>
      <c r="E12" s="214" t="s">
        <v>419</v>
      </c>
      <c r="F12" s="285" t="s">
        <v>587</v>
      </c>
    </row>
    <row r="13" spans="1:7" x14ac:dyDescent="0.25">
      <c r="A13" s="40" t="s">
        <v>273</v>
      </c>
      <c r="B13" s="29" t="s">
        <v>274</v>
      </c>
      <c r="C13" s="5" t="s">
        <v>283</v>
      </c>
      <c r="D13" s="9">
        <v>2.4900000000000002</v>
      </c>
      <c r="E13" s="214" t="s">
        <v>419</v>
      </c>
      <c r="F13" s="285" t="s">
        <v>588</v>
      </c>
    </row>
    <row r="14" spans="1:7" x14ac:dyDescent="0.25">
      <c r="A14" s="40" t="s">
        <v>273</v>
      </c>
      <c r="B14" s="29" t="s">
        <v>274</v>
      </c>
      <c r="C14" s="5" t="s">
        <v>281</v>
      </c>
      <c r="D14" s="9">
        <v>2.39</v>
      </c>
      <c r="E14" s="214" t="s">
        <v>419</v>
      </c>
      <c r="F14" s="285" t="s">
        <v>589</v>
      </c>
    </row>
    <row r="15" spans="1:7" x14ac:dyDescent="0.25">
      <c r="A15" s="40" t="s">
        <v>273</v>
      </c>
      <c r="B15" s="29" t="s">
        <v>274</v>
      </c>
      <c r="C15" s="5" t="s">
        <v>276</v>
      </c>
      <c r="D15" s="9">
        <v>2.31</v>
      </c>
      <c r="E15" s="214" t="s">
        <v>419</v>
      </c>
      <c r="F15" s="285" t="s">
        <v>590</v>
      </c>
    </row>
    <row r="16" spans="1:7" x14ac:dyDescent="0.25">
      <c r="A16" s="40" t="s">
        <v>273</v>
      </c>
      <c r="B16" s="29" t="s">
        <v>274</v>
      </c>
      <c r="C16" s="5" t="s">
        <v>278</v>
      </c>
      <c r="D16" s="9">
        <v>2.25</v>
      </c>
      <c r="E16" s="214" t="s">
        <v>419</v>
      </c>
      <c r="F16" s="285" t="s">
        <v>591</v>
      </c>
    </row>
    <row r="17" spans="1:6" ht="15.75" thickBot="1" x14ac:dyDescent="0.3">
      <c r="A17" s="42" t="s">
        <v>273</v>
      </c>
      <c r="B17" s="100" t="s">
        <v>274</v>
      </c>
      <c r="C17" s="44" t="s">
        <v>289</v>
      </c>
      <c r="D17" s="45">
        <v>1.99</v>
      </c>
      <c r="E17" s="219" t="s">
        <v>420</v>
      </c>
      <c r="F17" s="286" t="s">
        <v>592</v>
      </c>
    </row>
    <row r="18" spans="1:6" x14ac:dyDescent="0.25">
      <c r="A18" s="47" t="s">
        <v>437</v>
      </c>
      <c r="B18" s="99" t="s">
        <v>438</v>
      </c>
      <c r="C18" s="48" t="str">
        <f>"619216700878"</f>
        <v>619216700878</v>
      </c>
      <c r="D18" s="49">
        <v>2.7</v>
      </c>
      <c r="E18" s="277" t="s">
        <v>419</v>
      </c>
      <c r="F18" s="284" t="s">
        <v>578</v>
      </c>
    </row>
    <row r="19" spans="1:6" x14ac:dyDescent="0.25">
      <c r="A19" s="50" t="s">
        <v>437</v>
      </c>
      <c r="B19" s="29" t="s">
        <v>438</v>
      </c>
      <c r="C19" s="5" t="str">
        <f>"619216700869"</f>
        <v>619216700869</v>
      </c>
      <c r="D19" s="2">
        <v>2.58</v>
      </c>
      <c r="E19" s="278" t="s">
        <v>419</v>
      </c>
      <c r="F19" s="285" t="s">
        <v>579</v>
      </c>
    </row>
    <row r="20" spans="1:6" x14ac:dyDescent="0.25">
      <c r="A20" s="50" t="s">
        <v>437</v>
      </c>
      <c r="B20" s="29" t="s">
        <v>438</v>
      </c>
      <c r="C20" s="5" t="str">
        <f>"619216700871"</f>
        <v>619216700871</v>
      </c>
      <c r="D20" s="26">
        <v>2.54</v>
      </c>
      <c r="E20" s="278" t="s">
        <v>419</v>
      </c>
      <c r="F20" s="285" t="s">
        <v>580</v>
      </c>
    </row>
    <row r="21" spans="1:6" x14ac:dyDescent="0.25">
      <c r="A21" s="50" t="s">
        <v>437</v>
      </c>
      <c r="B21" s="29" t="s">
        <v>438</v>
      </c>
      <c r="C21" s="5" t="str">
        <f>"619216700873"</f>
        <v>619216700873</v>
      </c>
      <c r="D21" s="2">
        <v>2.54</v>
      </c>
      <c r="E21" s="278" t="s">
        <v>419</v>
      </c>
      <c r="F21" s="285" t="s">
        <v>581</v>
      </c>
    </row>
    <row r="22" spans="1:6" x14ac:dyDescent="0.25">
      <c r="A22" s="50" t="s">
        <v>437</v>
      </c>
      <c r="B22" s="29" t="s">
        <v>438</v>
      </c>
      <c r="C22" s="5" t="str">
        <f>"619216700859"</f>
        <v>619216700859</v>
      </c>
      <c r="D22" s="26">
        <v>2.5</v>
      </c>
      <c r="E22" s="278" t="s">
        <v>419</v>
      </c>
      <c r="F22" s="285" t="s">
        <v>582</v>
      </c>
    </row>
    <row r="23" spans="1:6" x14ac:dyDescent="0.25">
      <c r="A23" s="50" t="s">
        <v>437</v>
      </c>
      <c r="B23" s="29" t="s">
        <v>438</v>
      </c>
      <c r="C23" s="5" t="str">
        <f>"619216700861"</f>
        <v>619216700861</v>
      </c>
      <c r="D23" s="26">
        <v>2.5</v>
      </c>
      <c r="E23" s="278" t="s">
        <v>419</v>
      </c>
      <c r="F23" s="285" t="s">
        <v>583</v>
      </c>
    </row>
    <row r="24" spans="1:6" x14ac:dyDescent="0.25">
      <c r="A24" s="50" t="s">
        <v>437</v>
      </c>
      <c r="B24" s="29" t="s">
        <v>438</v>
      </c>
      <c r="C24" s="5" t="str">
        <f>"619216700884"</f>
        <v>619216700884</v>
      </c>
      <c r="D24" s="2">
        <v>2.36</v>
      </c>
      <c r="E24" s="278" t="s">
        <v>419</v>
      </c>
      <c r="F24" s="285" t="s">
        <v>584</v>
      </c>
    </row>
    <row r="25" spans="1:6" x14ac:dyDescent="0.25">
      <c r="A25" s="50" t="s">
        <v>437</v>
      </c>
      <c r="B25" s="29" t="s">
        <v>438</v>
      </c>
      <c r="C25" s="5" t="str">
        <f>"619216700876"</f>
        <v>619216700876</v>
      </c>
      <c r="D25" s="2">
        <v>2.34</v>
      </c>
      <c r="E25" s="278" t="s">
        <v>419</v>
      </c>
      <c r="F25" s="285" t="s">
        <v>585</v>
      </c>
    </row>
    <row r="26" spans="1:6" x14ac:dyDescent="0.25">
      <c r="A26" s="50" t="s">
        <v>437</v>
      </c>
      <c r="B26" s="29" t="s">
        <v>438</v>
      </c>
      <c r="C26" s="5" t="str">
        <f>"619216700875"</f>
        <v>619216700875</v>
      </c>
      <c r="D26" s="2">
        <v>2.34</v>
      </c>
      <c r="E26" s="278" t="s">
        <v>419</v>
      </c>
      <c r="F26" s="285" t="s">
        <v>586</v>
      </c>
    </row>
    <row r="27" spans="1:6" x14ac:dyDescent="0.25">
      <c r="A27" s="50" t="s">
        <v>437</v>
      </c>
      <c r="B27" s="29" t="s">
        <v>438</v>
      </c>
      <c r="C27" s="5" t="str">
        <f>"619216700874"</f>
        <v>619216700874</v>
      </c>
      <c r="D27" s="26">
        <v>2.3199999999999998</v>
      </c>
      <c r="E27" s="278" t="s">
        <v>419</v>
      </c>
      <c r="F27" s="285" t="s">
        <v>587</v>
      </c>
    </row>
    <row r="28" spans="1:6" x14ac:dyDescent="0.25">
      <c r="A28" s="50" t="s">
        <v>437</v>
      </c>
      <c r="B28" s="29" t="s">
        <v>438</v>
      </c>
      <c r="C28" s="5" t="str">
        <f>"619216700856"</f>
        <v>619216700856</v>
      </c>
      <c r="D28" s="2">
        <v>2.29</v>
      </c>
      <c r="E28" s="278" t="s">
        <v>419</v>
      </c>
      <c r="F28" s="285" t="s">
        <v>588</v>
      </c>
    </row>
    <row r="29" spans="1:6" x14ac:dyDescent="0.25">
      <c r="A29" s="50" t="s">
        <v>437</v>
      </c>
      <c r="B29" s="29" t="s">
        <v>438</v>
      </c>
      <c r="C29" s="5" t="str">
        <f>"619216700887"</f>
        <v>619216700887</v>
      </c>
      <c r="D29" s="2">
        <v>2.2599999999999998</v>
      </c>
      <c r="E29" s="278" t="s">
        <v>419</v>
      </c>
      <c r="F29" s="285" t="s">
        <v>589</v>
      </c>
    </row>
    <row r="30" spans="1:6" x14ac:dyDescent="0.25">
      <c r="A30" s="50" t="s">
        <v>437</v>
      </c>
      <c r="B30" s="29" t="s">
        <v>438</v>
      </c>
      <c r="C30" s="5" t="str">
        <f>"619216700879"</f>
        <v>619216700879</v>
      </c>
      <c r="D30" s="26">
        <v>2.25</v>
      </c>
      <c r="E30" s="278" t="s">
        <v>419</v>
      </c>
      <c r="F30" s="285" t="s">
        <v>590</v>
      </c>
    </row>
    <row r="31" spans="1:6" x14ac:dyDescent="0.25">
      <c r="A31" s="50" t="s">
        <v>437</v>
      </c>
      <c r="B31" s="29" t="s">
        <v>438</v>
      </c>
      <c r="C31" s="5" t="str">
        <f>"619216700855"</f>
        <v>619216700855</v>
      </c>
      <c r="D31" s="26">
        <v>2.14</v>
      </c>
      <c r="E31" s="278" t="s">
        <v>419</v>
      </c>
      <c r="F31" s="285" t="s">
        <v>591</v>
      </c>
    </row>
    <row r="32" spans="1:6" x14ac:dyDescent="0.25">
      <c r="A32" s="50" t="s">
        <v>437</v>
      </c>
      <c r="B32" s="29" t="s">
        <v>438</v>
      </c>
      <c r="C32" s="5" t="str">
        <f>"619216700886"</f>
        <v>619216700886</v>
      </c>
      <c r="D32" s="26">
        <v>2.04</v>
      </c>
      <c r="E32" s="278" t="s">
        <v>419</v>
      </c>
      <c r="F32" s="285" t="s">
        <v>592</v>
      </c>
    </row>
    <row r="33" spans="1:6" x14ac:dyDescent="0.25">
      <c r="A33" s="50" t="s">
        <v>437</v>
      </c>
      <c r="B33" s="29" t="s">
        <v>438</v>
      </c>
      <c r="C33" s="5" t="str">
        <f>"619216700872"</f>
        <v>619216700872</v>
      </c>
      <c r="D33" s="26">
        <v>2.0299999999999998</v>
      </c>
      <c r="E33" s="278" t="s">
        <v>419</v>
      </c>
      <c r="F33" s="285" t="s">
        <v>593</v>
      </c>
    </row>
    <row r="34" spans="1:6" x14ac:dyDescent="0.25">
      <c r="A34" s="50" t="s">
        <v>437</v>
      </c>
      <c r="B34" s="29" t="s">
        <v>438</v>
      </c>
      <c r="C34" s="5" t="str">
        <f>"619216700868"</f>
        <v>619216700868</v>
      </c>
      <c r="D34" s="26">
        <v>2.0299999999999998</v>
      </c>
      <c r="E34" s="278" t="s">
        <v>419</v>
      </c>
      <c r="F34" s="285" t="s">
        <v>594</v>
      </c>
    </row>
    <row r="35" spans="1:6" x14ac:dyDescent="0.25">
      <c r="A35" s="50" t="s">
        <v>437</v>
      </c>
      <c r="B35" s="29" t="s">
        <v>438</v>
      </c>
      <c r="C35" s="5" t="str">
        <f>"619216700885"</f>
        <v>619216700885</v>
      </c>
      <c r="D35" s="2">
        <v>2.0099999999999998</v>
      </c>
      <c r="E35" s="279" t="s">
        <v>420</v>
      </c>
      <c r="F35" s="285" t="s">
        <v>595</v>
      </c>
    </row>
    <row r="36" spans="1:6" x14ac:dyDescent="0.25">
      <c r="A36" s="50" t="s">
        <v>437</v>
      </c>
      <c r="B36" s="29" t="s">
        <v>438</v>
      </c>
      <c r="C36" s="5" t="str">
        <f>"619216700860"</f>
        <v>619216700860</v>
      </c>
      <c r="D36" s="2">
        <v>1.91</v>
      </c>
      <c r="E36" s="279" t="s">
        <v>420</v>
      </c>
      <c r="F36" s="285" t="s">
        <v>596</v>
      </c>
    </row>
    <row r="37" spans="1:6" x14ac:dyDescent="0.25">
      <c r="A37" s="50" t="s">
        <v>437</v>
      </c>
      <c r="B37" s="29" t="s">
        <v>438</v>
      </c>
      <c r="C37" s="5" t="str">
        <f>"619216700882"</f>
        <v>619216700882</v>
      </c>
      <c r="D37" s="2">
        <v>1.89</v>
      </c>
      <c r="E37" s="279" t="s">
        <v>420</v>
      </c>
      <c r="F37" s="285" t="s">
        <v>597</v>
      </c>
    </row>
    <row r="38" spans="1:6" x14ac:dyDescent="0.25">
      <c r="A38" s="50" t="s">
        <v>437</v>
      </c>
      <c r="B38" s="29" t="s">
        <v>438</v>
      </c>
      <c r="C38" s="5" t="str">
        <f>"619216700862"</f>
        <v>619216700862</v>
      </c>
      <c r="D38" s="2">
        <v>1.84</v>
      </c>
      <c r="E38" s="279" t="s">
        <v>420</v>
      </c>
      <c r="F38" s="285" t="s">
        <v>598</v>
      </c>
    </row>
    <row r="39" spans="1:6" x14ac:dyDescent="0.25">
      <c r="A39" s="50" t="s">
        <v>437</v>
      </c>
      <c r="B39" s="29" t="s">
        <v>438</v>
      </c>
      <c r="C39" s="5" t="str">
        <f>"619216700881"</f>
        <v>619216700881</v>
      </c>
      <c r="D39" s="2">
        <v>1.83</v>
      </c>
      <c r="E39" s="279" t="s">
        <v>420</v>
      </c>
      <c r="F39" s="285" t="s">
        <v>599</v>
      </c>
    </row>
    <row r="40" spans="1:6" x14ac:dyDescent="0.25">
      <c r="A40" s="50" t="s">
        <v>437</v>
      </c>
      <c r="B40" s="29" t="s">
        <v>438</v>
      </c>
      <c r="C40" s="5" t="str">
        <f>"619216700867"</f>
        <v>619216700867</v>
      </c>
      <c r="D40" s="2">
        <v>1.79</v>
      </c>
      <c r="E40" s="279" t="s">
        <v>420</v>
      </c>
      <c r="F40" s="285" t="s">
        <v>600</v>
      </c>
    </row>
    <row r="41" spans="1:6" x14ac:dyDescent="0.25">
      <c r="A41" s="50" t="s">
        <v>437</v>
      </c>
      <c r="B41" s="29" t="s">
        <v>438</v>
      </c>
      <c r="C41" s="5" t="str">
        <f>"619216700889"</f>
        <v>619216700889</v>
      </c>
      <c r="D41" s="2">
        <v>1.79</v>
      </c>
      <c r="E41" s="279" t="s">
        <v>420</v>
      </c>
      <c r="F41" s="285" t="s">
        <v>616</v>
      </c>
    </row>
    <row r="42" spans="1:6" x14ac:dyDescent="0.25">
      <c r="A42" s="50" t="s">
        <v>437</v>
      </c>
      <c r="B42" s="29" t="s">
        <v>438</v>
      </c>
      <c r="C42" s="5" t="str">
        <f>"619216700864"</f>
        <v>619216700864</v>
      </c>
      <c r="D42" s="2">
        <v>1.76</v>
      </c>
      <c r="E42" s="279" t="s">
        <v>420</v>
      </c>
      <c r="F42" s="285" t="s">
        <v>617</v>
      </c>
    </row>
    <row r="43" spans="1:6" x14ac:dyDescent="0.25">
      <c r="A43" s="50" t="s">
        <v>437</v>
      </c>
      <c r="B43" s="29" t="s">
        <v>438</v>
      </c>
      <c r="C43" s="5" t="str">
        <f>"619216700863"</f>
        <v>619216700863</v>
      </c>
      <c r="D43" s="2">
        <v>1.73</v>
      </c>
      <c r="E43" s="279" t="s">
        <v>420</v>
      </c>
      <c r="F43" s="285" t="s">
        <v>618</v>
      </c>
    </row>
    <row r="44" spans="1:6" x14ac:dyDescent="0.25">
      <c r="A44" s="50" t="s">
        <v>437</v>
      </c>
      <c r="B44" s="29" t="s">
        <v>438</v>
      </c>
      <c r="C44" s="5" t="str">
        <f>"619216440888"</f>
        <v>619216440888</v>
      </c>
      <c r="D44" s="2">
        <v>1.72</v>
      </c>
      <c r="E44" s="279" t="s">
        <v>420</v>
      </c>
      <c r="F44" s="285" t="s">
        <v>619</v>
      </c>
    </row>
    <row r="45" spans="1:6" x14ac:dyDescent="0.25">
      <c r="A45" s="50" t="s">
        <v>437</v>
      </c>
      <c r="B45" s="29" t="s">
        <v>438</v>
      </c>
      <c r="C45" s="5" t="str">
        <f>"619216700880"</f>
        <v>619216700880</v>
      </c>
      <c r="D45" s="2">
        <v>1.69</v>
      </c>
      <c r="E45" s="279" t="s">
        <v>420</v>
      </c>
      <c r="F45" s="285" t="s">
        <v>620</v>
      </c>
    </row>
    <row r="46" spans="1:6" x14ac:dyDescent="0.25">
      <c r="A46" s="50" t="s">
        <v>437</v>
      </c>
      <c r="B46" s="29" t="s">
        <v>438</v>
      </c>
      <c r="C46" s="5" t="str">
        <f>"619216700890"</f>
        <v>619216700890</v>
      </c>
      <c r="D46" s="2">
        <v>1.68</v>
      </c>
      <c r="E46" s="279" t="s">
        <v>420</v>
      </c>
      <c r="F46" s="285" t="s">
        <v>621</v>
      </c>
    </row>
    <row r="47" spans="1:6" x14ac:dyDescent="0.25">
      <c r="A47" s="50" t="s">
        <v>437</v>
      </c>
      <c r="B47" s="29" t="s">
        <v>438</v>
      </c>
      <c r="C47" s="5" t="str">
        <f>"619216700858"</f>
        <v>619216700858</v>
      </c>
      <c r="D47" s="2">
        <v>1.59</v>
      </c>
      <c r="E47" s="279" t="s">
        <v>420</v>
      </c>
      <c r="F47" s="285" t="s">
        <v>622</v>
      </c>
    </row>
    <row r="48" spans="1:6" x14ac:dyDescent="0.25">
      <c r="A48" s="50" t="s">
        <v>437</v>
      </c>
      <c r="B48" s="29" t="s">
        <v>438</v>
      </c>
      <c r="C48" s="5" t="str">
        <f>"619216370857"</f>
        <v>619216370857</v>
      </c>
      <c r="D48" s="2">
        <v>1.49</v>
      </c>
      <c r="E48" s="279" t="s">
        <v>420</v>
      </c>
      <c r="F48" s="285" t="s">
        <v>623</v>
      </c>
    </row>
    <row r="49" spans="1:6" x14ac:dyDescent="0.25">
      <c r="A49" s="50" t="s">
        <v>437</v>
      </c>
      <c r="B49" s="29" t="s">
        <v>438</v>
      </c>
      <c r="C49" s="5" t="str">
        <f>"619216700891"</f>
        <v>619216700891</v>
      </c>
      <c r="D49" s="2">
        <v>1.46</v>
      </c>
      <c r="E49" s="279" t="s">
        <v>420</v>
      </c>
      <c r="F49" s="285" t="s">
        <v>624</v>
      </c>
    </row>
    <row r="50" spans="1:6" x14ac:dyDescent="0.25">
      <c r="A50" s="50" t="s">
        <v>437</v>
      </c>
      <c r="B50" s="29" t="s">
        <v>438</v>
      </c>
      <c r="C50" s="5" t="str">
        <f>"619216700877"</f>
        <v>619216700877</v>
      </c>
      <c r="D50" s="2">
        <v>1.34</v>
      </c>
      <c r="E50" s="279" t="s">
        <v>420</v>
      </c>
      <c r="F50" s="285" t="s">
        <v>625</v>
      </c>
    </row>
    <row r="51" spans="1:6" x14ac:dyDescent="0.25">
      <c r="A51" s="50" t="s">
        <v>437</v>
      </c>
      <c r="B51" s="29" t="s">
        <v>438</v>
      </c>
      <c r="C51" s="5" t="str">
        <f>"619216700865"</f>
        <v>619216700865</v>
      </c>
      <c r="D51" s="2">
        <v>1.3</v>
      </c>
      <c r="E51" s="279" t="s">
        <v>420</v>
      </c>
      <c r="F51" s="285" t="s">
        <v>626</v>
      </c>
    </row>
    <row r="52" spans="1:6" x14ac:dyDescent="0.25">
      <c r="A52" s="50" t="s">
        <v>437</v>
      </c>
      <c r="B52" s="29" t="s">
        <v>438</v>
      </c>
      <c r="C52" s="5" t="str">
        <f>"619216700870"</f>
        <v>619216700870</v>
      </c>
      <c r="D52" s="2">
        <v>1.25</v>
      </c>
      <c r="E52" s="279" t="s">
        <v>420</v>
      </c>
      <c r="F52" s="285" t="s">
        <v>627</v>
      </c>
    </row>
    <row r="53" spans="1:6" ht="15.75" thickBot="1" x14ac:dyDescent="0.3">
      <c r="A53" s="42" t="s">
        <v>437</v>
      </c>
      <c r="B53" s="100" t="s">
        <v>438</v>
      </c>
      <c r="C53" s="44" t="str">
        <f>"619216700883"</f>
        <v>619216700883</v>
      </c>
      <c r="D53" s="51">
        <v>1.1599999999999999</v>
      </c>
      <c r="E53" s="280" t="s">
        <v>420</v>
      </c>
      <c r="F53" s="286" t="s">
        <v>628</v>
      </c>
    </row>
    <row r="54" spans="1:6" x14ac:dyDescent="0.25">
      <c r="A54" s="47" t="s">
        <v>437</v>
      </c>
      <c r="B54" s="101" t="s">
        <v>443</v>
      </c>
      <c r="C54" s="48" t="str">
        <f>"619216701052"</f>
        <v>619216701052</v>
      </c>
      <c r="D54" s="49">
        <v>3.37</v>
      </c>
      <c r="E54" s="277" t="s">
        <v>419</v>
      </c>
      <c r="F54" s="284" t="s">
        <v>578</v>
      </c>
    </row>
    <row r="55" spans="1:6" x14ac:dyDescent="0.25">
      <c r="A55" s="50" t="s">
        <v>437</v>
      </c>
      <c r="B55" s="102" t="s">
        <v>443</v>
      </c>
      <c r="C55" s="5" t="str">
        <f>"619216701063"</f>
        <v>619216701063</v>
      </c>
      <c r="D55" s="2">
        <v>3.15</v>
      </c>
      <c r="E55" s="278" t="s">
        <v>419</v>
      </c>
      <c r="F55" s="285" t="s">
        <v>579</v>
      </c>
    </row>
    <row r="56" spans="1:6" x14ac:dyDescent="0.25">
      <c r="A56" s="50" t="s">
        <v>437</v>
      </c>
      <c r="B56" s="102" t="s">
        <v>443</v>
      </c>
      <c r="C56" s="5" t="str">
        <f>"619216701061"</f>
        <v>619216701061</v>
      </c>
      <c r="D56" s="2">
        <v>3.12</v>
      </c>
      <c r="E56" s="278" t="s">
        <v>419</v>
      </c>
      <c r="F56" s="285" t="s">
        <v>580</v>
      </c>
    </row>
    <row r="57" spans="1:6" x14ac:dyDescent="0.25">
      <c r="A57" s="50" t="s">
        <v>437</v>
      </c>
      <c r="B57" s="102" t="s">
        <v>443</v>
      </c>
      <c r="C57" s="5" t="str">
        <f>"619216701056"</f>
        <v>619216701056</v>
      </c>
      <c r="D57" s="2">
        <v>3.1</v>
      </c>
      <c r="E57" s="278" t="s">
        <v>419</v>
      </c>
      <c r="F57" s="285" t="s">
        <v>581</v>
      </c>
    </row>
    <row r="58" spans="1:6" x14ac:dyDescent="0.25">
      <c r="A58" s="50" t="s">
        <v>437</v>
      </c>
      <c r="B58" s="102" t="s">
        <v>443</v>
      </c>
      <c r="C58" s="5" t="str">
        <f>"619216701051"</f>
        <v>619216701051</v>
      </c>
      <c r="D58" s="2">
        <v>3.07</v>
      </c>
      <c r="E58" s="278" t="s">
        <v>419</v>
      </c>
      <c r="F58" s="285" t="s">
        <v>582</v>
      </c>
    </row>
    <row r="59" spans="1:6" x14ac:dyDescent="0.25">
      <c r="A59" s="50" t="s">
        <v>437</v>
      </c>
      <c r="B59" s="102" t="s">
        <v>443</v>
      </c>
      <c r="C59" s="14" t="str">
        <f>"619216701195"</f>
        <v>619216701195</v>
      </c>
      <c r="D59" s="2">
        <v>3.07</v>
      </c>
      <c r="E59" s="278" t="s">
        <v>419</v>
      </c>
      <c r="F59" s="285" t="s">
        <v>583</v>
      </c>
    </row>
    <row r="60" spans="1:6" x14ac:dyDescent="0.25">
      <c r="A60" s="50" t="s">
        <v>437</v>
      </c>
      <c r="B60" s="102" t="s">
        <v>443</v>
      </c>
      <c r="C60" s="5" t="str">
        <f>"619216701060"</f>
        <v>619216701060</v>
      </c>
      <c r="D60" s="2">
        <v>3.04</v>
      </c>
      <c r="E60" s="278" t="s">
        <v>419</v>
      </c>
      <c r="F60" s="285" t="s">
        <v>584</v>
      </c>
    </row>
    <row r="61" spans="1:6" x14ac:dyDescent="0.25">
      <c r="A61" s="50" t="s">
        <v>437</v>
      </c>
      <c r="B61" s="102" t="s">
        <v>443</v>
      </c>
      <c r="C61" s="5" t="str">
        <f>"619216701047"</f>
        <v>619216701047</v>
      </c>
      <c r="D61" s="2">
        <v>3</v>
      </c>
      <c r="E61" s="278" t="s">
        <v>419</v>
      </c>
      <c r="F61" s="285" t="s">
        <v>585</v>
      </c>
    </row>
    <row r="62" spans="1:6" x14ac:dyDescent="0.25">
      <c r="A62" s="50" t="s">
        <v>437</v>
      </c>
      <c r="B62" s="102" t="s">
        <v>443</v>
      </c>
      <c r="C62" s="5" t="str">
        <f>"619216701050"</f>
        <v>619216701050</v>
      </c>
      <c r="D62" s="2">
        <v>3</v>
      </c>
      <c r="E62" s="278" t="s">
        <v>419</v>
      </c>
      <c r="F62" s="285" t="s">
        <v>586</v>
      </c>
    </row>
    <row r="63" spans="1:6" x14ac:dyDescent="0.25">
      <c r="A63" s="50" t="s">
        <v>437</v>
      </c>
      <c r="B63" s="102" t="s">
        <v>443</v>
      </c>
      <c r="C63" s="5" t="str">
        <f>"619216701055"</f>
        <v>619216701055</v>
      </c>
      <c r="D63" s="2">
        <v>2.9</v>
      </c>
      <c r="E63" s="278" t="s">
        <v>419</v>
      </c>
      <c r="F63" s="285" t="s">
        <v>587</v>
      </c>
    </row>
    <row r="64" spans="1:6" x14ac:dyDescent="0.25">
      <c r="A64" s="50" t="s">
        <v>437</v>
      </c>
      <c r="B64" s="102" t="s">
        <v>443</v>
      </c>
      <c r="C64" s="5" t="str">
        <f>"619216701049"</f>
        <v>619216701049</v>
      </c>
      <c r="D64" s="2">
        <v>2.89</v>
      </c>
      <c r="E64" s="278" t="s">
        <v>419</v>
      </c>
      <c r="F64" s="285" t="s">
        <v>588</v>
      </c>
    </row>
    <row r="65" spans="1:6" x14ac:dyDescent="0.25">
      <c r="A65" s="50" t="s">
        <v>444</v>
      </c>
      <c r="B65" s="29" t="s">
        <v>443</v>
      </c>
      <c r="C65" s="5" t="str">
        <f>"619216700988"</f>
        <v>619216700988</v>
      </c>
      <c r="D65" s="2">
        <v>2.87</v>
      </c>
      <c r="E65" s="281" t="s">
        <v>420</v>
      </c>
      <c r="F65" s="285" t="s">
        <v>589</v>
      </c>
    </row>
    <row r="66" spans="1:6" x14ac:dyDescent="0.25">
      <c r="A66" s="50" t="s">
        <v>444</v>
      </c>
      <c r="B66" s="29" t="s">
        <v>443</v>
      </c>
      <c r="C66" s="5" t="str">
        <f>"619216700999"</f>
        <v>619216700999</v>
      </c>
      <c r="D66" s="2">
        <v>2.86</v>
      </c>
      <c r="E66" s="281" t="s">
        <v>420</v>
      </c>
      <c r="F66" s="285" t="s">
        <v>590</v>
      </c>
    </row>
    <row r="67" spans="1:6" x14ac:dyDescent="0.25">
      <c r="A67" s="50" t="s">
        <v>444</v>
      </c>
      <c r="B67" s="29" t="s">
        <v>443</v>
      </c>
      <c r="C67" s="5" t="str">
        <f>"619216701010"</f>
        <v>619216701010</v>
      </c>
      <c r="D67" s="2">
        <v>2.86</v>
      </c>
      <c r="E67" s="281" t="s">
        <v>420</v>
      </c>
      <c r="F67" s="285" t="s">
        <v>591</v>
      </c>
    </row>
    <row r="68" spans="1:6" x14ac:dyDescent="0.25">
      <c r="A68" s="50" t="s">
        <v>444</v>
      </c>
      <c r="B68" s="29" t="s">
        <v>443</v>
      </c>
      <c r="C68" s="5" t="str">
        <f>"619216701000"</f>
        <v>619216701000</v>
      </c>
      <c r="D68" s="2">
        <v>2.79</v>
      </c>
      <c r="E68" s="281" t="s">
        <v>420</v>
      </c>
      <c r="F68" s="285" t="s">
        <v>592</v>
      </c>
    </row>
    <row r="69" spans="1:6" x14ac:dyDescent="0.25">
      <c r="A69" s="50" t="s">
        <v>444</v>
      </c>
      <c r="B69" s="29" t="s">
        <v>443</v>
      </c>
      <c r="C69" s="5" t="str">
        <f>"619216701011"</f>
        <v>619216701011</v>
      </c>
      <c r="D69" s="2">
        <v>2.77</v>
      </c>
      <c r="E69" s="281" t="s">
        <v>420</v>
      </c>
      <c r="F69" s="285" t="s">
        <v>593</v>
      </c>
    </row>
    <row r="70" spans="1:6" x14ac:dyDescent="0.25">
      <c r="A70" s="50" t="s">
        <v>444</v>
      </c>
      <c r="B70" s="29" t="s">
        <v>443</v>
      </c>
      <c r="C70" s="5" t="str">
        <f>"619216700989"</f>
        <v>619216700989</v>
      </c>
      <c r="D70" s="2">
        <v>2.75</v>
      </c>
      <c r="E70" s="281" t="s">
        <v>420</v>
      </c>
      <c r="F70" s="285" t="s">
        <v>594</v>
      </c>
    </row>
    <row r="71" spans="1:6" x14ac:dyDescent="0.25">
      <c r="A71" s="50" t="s">
        <v>444</v>
      </c>
      <c r="B71" s="29" t="s">
        <v>443</v>
      </c>
      <c r="C71" s="5" t="str">
        <f>"619216701012"</f>
        <v>619216701012</v>
      </c>
      <c r="D71" s="2">
        <v>2.74</v>
      </c>
      <c r="E71" s="281" t="s">
        <v>420</v>
      </c>
      <c r="F71" s="285" t="s">
        <v>595</v>
      </c>
    </row>
    <row r="72" spans="1:6" x14ac:dyDescent="0.25">
      <c r="A72" s="50" t="s">
        <v>444</v>
      </c>
      <c r="B72" s="29" t="s">
        <v>443</v>
      </c>
      <c r="C72" s="5" t="str">
        <f>"619216700987"</f>
        <v>619216700987</v>
      </c>
      <c r="D72" s="2">
        <v>2.71</v>
      </c>
      <c r="E72" s="281" t="s">
        <v>420</v>
      </c>
      <c r="F72" s="285" t="s">
        <v>596</v>
      </c>
    </row>
    <row r="73" spans="1:6" x14ac:dyDescent="0.25">
      <c r="A73" s="50" t="s">
        <v>444</v>
      </c>
      <c r="B73" s="29" t="s">
        <v>443</v>
      </c>
      <c r="C73" s="5" t="str">
        <f>"619216701008"</f>
        <v>619216701008</v>
      </c>
      <c r="D73" s="2">
        <v>2.7</v>
      </c>
      <c r="E73" s="281" t="s">
        <v>420</v>
      </c>
      <c r="F73" s="285" t="s">
        <v>597</v>
      </c>
    </row>
    <row r="74" spans="1:6" x14ac:dyDescent="0.25">
      <c r="A74" s="50" t="s">
        <v>444</v>
      </c>
      <c r="B74" s="29" t="s">
        <v>443</v>
      </c>
      <c r="C74" s="5" t="str">
        <f>"619216701001"</f>
        <v>619216701001</v>
      </c>
      <c r="D74" s="2">
        <v>2.66</v>
      </c>
      <c r="E74" s="281" t="s">
        <v>420</v>
      </c>
      <c r="F74" s="285" t="s">
        <v>598</v>
      </c>
    </row>
    <row r="75" spans="1:6" x14ac:dyDescent="0.25">
      <c r="A75" s="50" t="s">
        <v>444</v>
      </c>
      <c r="B75" s="29" t="s">
        <v>443</v>
      </c>
      <c r="C75" s="5" t="str">
        <f>"619216700994"</f>
        <v>619216700994</v>
      </c>
      <c r="D75" s="2">
        <v>2.61</v>
      </c>
      <c r="E75" s="281" t="s">
        <v>420</v>
      </c>
      <c r="F75" s="285" t="s">
        <v>599</v>
      </c>
    </row>
    <row r="76" spans="1:6" x14ac:dyDescent="0.25">
      <c r="A76" s="50" t="s">
        <v>444</v>
      </c>
      <c r="B76" s="29" t="s">
        <v>443</v>
      </c>
      <c r="C76" s="5" t="str">
        <f>"619216701004"</f>
        <v>619216701004</v>
      </c>
      <c r="D76" s="2">
        <v>2.57</v>
      </c>
      <c r="E76" s="281" t="s">
        <v>420</v>
      </c>
      <c r="F76" s="285" t="s">
        <v>600</v>
      </c>
    </row>
    <row r="77" spans="1:6" x14ac:dyDescent="0.25">
      <c r="A77" s="50" t="s">
        <v>444</v>
      </c>
      <c r="B77" s="29" t="s">
        <v>443</v>
      </c>
      <c r="C77" s="5" t="str">
        <f>"619216700990"</f>
        <v>619216700990</v>
      </c>
      <c r="D77" s="2">
        <v>2.5499999999999998</v>
      </c>
      <c r="E77" s="281" t="s">
        <v>420</v>
      </c>
      <c r="F77" s="285" t="s">
        <v>616</v>
      </c>
    </row>
    <row r="78" spans="1:6" x14ac:dyDescent="0.25">
      <c r="A78" s="50" t="s">
        <v>444</v>
      </c>
      <c r="B78" s="29" t="s">
        <v>443</v>
      </c>
      <c r="C78" s="5" t="str">
        <f>"619216701002"</f>
        <v>619216701002</v>
      </c>
      <c r="D78" s="2">
        <v>2.54</v>
      </c>
      <c r="E78" s="281" t="s">
        <v>420</v>
      </c>
      <c r="F78" s="285" t="s">
        <v>617</v>
      </c>
    </row>
    <row r="79" spans="1:6" x14ac:dyDescent="0.25">
      <c r="A79" s="50" t="s">
        <v>444</v>
      </c>
      <c r="B79" s="29" t="s">
        <v>443</v>
      </c>
      <c r="C79" s="5" t="str">
        <f>"619216701013"</f>
        <v>619216701013</v>
      </c>
      <c r="D79" s="2">
        <v>2.54</v>
      </c>
      <c r="E79" s="281" t="s">
        <v>420</v>
      </c>
      <c r="F79" s="285" t="s">
        <v>618</v>
      </c>
    </row>
    <row r="80" spans="1:6" x14ac:dyDescent="0.25">
      <c r="A80" s="50" t="s">
        <v>444</v>
      </c>
      <c r="B80" s="29" t="s">
        <v>443</v>
      </c>
      <c r="C80" s="5" t="str">
        <f>"619216701003"</f>
        <v>619216701003</v>
      </c>
      <c r="D80" s="2">
        <v>2.4</v>
      </c>
      <c r="E80" s="281" t="s">
        <v>420</v>
      </c>
      <c r="F80" s="285" t="s">
        <v>619</v>
      </c>
    </row>
    <row r="81" spans="1:6" x14ac:dyDescent="0.25">
      <c r="A81" s="50" t="s">
        <v>444</v>
      </c>
      <c r="B81" s="29" t="s">
        <v>443</v>
      </c>
      <c r="C81" s="5" t="str">
        <f>"619216700993"</f>
        <v>619216700993</v>
      </c>
      <c r="D81" s="2">
        <v>2.36</v>
      </c>
      <c r="E81" s="281" t="s">
        <v>420</v>
      </c>
      <c r="F81" s="285" t="s">
        <v>620</v>
      </c>
    </row>
    <row r="82" spans="1:6" x14ac:dyDescent="0.25">
      <c r="A82" s="50" t="s">
        <v>444</v>
      </c>
      <c r="B82" s="29" t="s">
        <v>443</v>
      </c>
      <c r="C82" s="5" t="str">
        <f>"619216700992"</f>
        <v>619216700992</v>
      </c>
      <c r="D82" s="2">
        <v>2.2200000000000002</v>
      </c>
      <c r="E82" s="281" t="s">
        <v>420</v>
      </c>
      <c r="F82" s="285" t="s">
        <v>621</v>
      </c>
    </row>
    <row r="83" spans="1:6" x14ac:dyDescent="0.25">
      <c r="A83" s="50" t="s">
        <v>444</v>
      </c>
      <c r="B83" s="29" t="s">
        <v>443</v>
      </c>
      <c r="C83" s="5" t="str">
        <f>"619216700996"</f>
        <v>619216700996</v>
      </c>
      <c r="D83" s="2">
        <v>2.17</v>
      </c>
      <c r="E83" s="281" t="s">
        <v>420</v>
      </c>
      <c r="F83" s="285" t="s">
        <v>622</v>
      </c>
    </row>
    <row r="84" spans="1:6" x14ac:dyDescent="0.25">
      <c r="A84" s="50" t="s">
        <v>444</v>
      </c>
      <c r="B84" s="29" t="s">
        <v>443</v>
      </c>
      <c r="C84" s="5" t="str">
        <f>"619216701007"</f>
        <v>619216701007</v>
      </c>
      <c r="D84" s="2">
        <v>2.15</v>
      </c>
      <c r="E84" s="281" t="s">
        <v>420</v>
      </c>
      <c r="F84" s="285" t="s">
        <v>623</v>
      </c>
    </row>
    <row r="85" spans="1:6" x14ac:dyDescent="0.25">
      <c r="A85" s="50" t="s">
        <v>444</v>
      </c>
      <c r="B85" s="29" t="s">
        <v>443</v>
      </c>
      <c r="C85" s="5" t="str">
        <f>"619216700998"</f>
        <v>619216700998</v>
      </c>
      <c r="D85" s="2">
        <v>2.13</v>
      </c>
      <c r="E85" s="281" t="s">
        <v>420</v>
      </c>
      <c r="F85" s="285" t="s">
        <v>624</v>
      </c>
    </row>
    <row r="86" spans="1:6" x14ac:dyDescent="0.25">
      <c r="A86" s="50" t="s">
        <v>444</v>
      </c>
      <c r="B86" s="29" t="s">
        <v>443</v>
      </c>
      <c r="C86" s="5" t="str">
        <f>"619216701006"</f>
        <v>619216701006</v>
      </c>
      <c r="D86" s="2">
        <v>2.06</v>
      </c>
      <c r="E86" s="281" t="s">
        <v>420</v>
      </c>
      <c r="F86" s="285" t="s">
        <v>625</v>
      </c>
    </row>
    <row r="87" spans="1:6" x14ac:dyDescent="0.25">
      <c r="A87" s="50" t="s">
        <v>444</v>
      </c>
      <c r="B87" s="29" t="s">
        <v>443</v>
      </c>
      <c r="C87" s="5" t="str">
        <f>"619216701009"</f>
        <v>619216701009</v>
      </c>
      <c r="D87" s="2">
        <v>1.86</v>
      </c>
      <c r="E87" s="281" t="s">
        <v>420</v>
      </c>
      <c r="F87" s="285" t="s">
        <v>626</v>
      </c>
    </row>
    <row r="88" spans="1:6" x14ac:dyDescent="0.25">
      <c r="A88" s="50" t="s">
        <v>444</v>
      </c>
      <c r="B88" s="29" t="s">
        <v>443</v>
      </c>
      <c r="C88" s="5" t="str">
        <f>"619216700991"</f>
        <v>619216700991</v>
      </c>
      <c r="D88" s="2">
        <v>1.72</v>
      </c>
      <c r="E88" s="281" t="s">
        <v>420</v>
      </c>
      <c r="F88" s="285" t="s">
        <v>627</v>
      </c>
    </row>
    <row r="89" spans="1:6" ht="15.75" thickBot="1" x14ac:dyDescent="0.3">
      <c r="A89" s="42" t="s">
        <v>444</v>
      </c>
      <c r="B89" s="100" t="s">
        <v>443</v>
      </c>
      <c r="C89" s="44" t="str">
        <f>"619216701005"</f>
        <v>619216701005</v>
      </c>
      <c r="D89" s="51">
        <v>1.69</v>
      </c>
      <c r="E89" s="282" t="s">
        <v>420</v>
      </c>
      <c r="F89" s="286" t="s">
        <v>628</v>
      </c>
    </row>
    <row r="90" spans="1:6" x14ac:dyDescent="0.25">
      <c r="A90" s="47" t="s">
        <v>437</v>
      </c>
      <c r="B90" s="101" t="s">
        <v>443</v>
      </c>
      <c r="C90" s="48" t="str">
        <f>"619216701054"</f>
        <v>619216701054</v>
      </c>
      <c r="D90" s="49">
        <v>3.04</v>
      </c>
      <c r="E90" s="277" t="s">
        <v>419</v>
      </c>
      <c r="F90" s="284" t="s">
        <v>578</v>
      </c>
    </row>
    <row r="91" spans="1:6" x14ac:dyDescent="0.25">
      <c r="A91" s="50" t="s">
        <v>437</v>
      </c>
      <c r="B91" s="102" t="s">
        <v>443</v>
      </c>
      <c r="C91" s="5" t="str">
        <f>"619216701057"</f>
        <v>619216701057</v>
      </c>
      <c r="D91" s="2">
        <v>2.97</v>
      </c>
      <c r="E91" s="278" t="s">
        <v>419</v>
      </c>
      <c r="F91" s="285" t="s">
        <v>579</v>
      </c>
    </row>
    <row r="92" spans="1:6" x14ac:dyDescent="0.25">
      <c r="A92" s="50" t="s">
        <v>437</v>
      </c>
      <c r="B92" s="102" t="s">
        <v>443</v>
      </c>
      <c r="C92" s="5" t="str">
        <f>"619216701058"</f>
        <v>619216701058</v>
      </c>
      <c r="D92" s="2">
        <v>2.84</v>
      </c>
      <c r="E92" s="278" t="s">
        <v>419</v>
      </c>
      <c r="F92" s="285" t="s">
        <v>580</v>
      </c>
    </row>
    <row r="93" spans="1:6" x14ac:dyDescent="0.25">
      <c r="A93" s="50" t="s">
        <v>437</v>
      </c>
      <c r="B93" s="102" t="s">
        <v>443</v>
      </c>
      <c r="C93" s="5" t="str">
        <f>"619216701053"</f>
        <v>619216701053</v>
      </c>
      <c r="D93" s="2">
        <v>2.84</v>
      </c>
      <c r="E93" s="278" t="s">
        <v>419</v>
      </c>
      <c r="F93" s="285" t="s">
        <v>581</v>
      </c>
    </row>
    <row r="94" spans="1:6" x14ac:dyDescent="0.25">
      <c r="A94" s="50" t="s">
        <v>437</v>
      </c>
      <c r="B94" s="102" t="s">
        <v>443</v>
      </c>
      <c r="C94" s="5" t="str">
        <f>"619216701059"</f>
        <v>619216701059</v>
      </c>
      <c r="D94" s="2">
        <v>2.81</v>
      </c>
      <c r="E94" s="278" t="s">
        <v>419</v>
      </c>
      <c r="F94" s="285" t="s">
        <v>582</v>
      </c>
    </row>
    <row r="95" spans="1:6" x14ac:dyDescent="0.25">
      <c r="A95" s="50" t="s">
        <v>437</v>
      </c>
      <c r="B95" s="102" t="s">
        <v>443</v>
      </c>
      <c r="C95" s="5" t="str">
        <f>"619216701194"</f>
        <v>619216701194</v>
      </c>
      <c r="D95" s="2">
        <v>2.78</v>
      </c>
      <c r="E95" s="278" t="s">
        <v>419</v>
      </c>
      <c r="F95" s="285" t="s">
        <v>583</v>
      </c>
    </row>
    <row r="96" spans="1:6" x14ac:dyDescent="0.25">
      <c r="A96" s="50" t="s">
        <v>437</v>
      </c>
      <c r="B96" s="102" t="s">
        <v>443</v>
      </c>
      <c r="C96" s="5" t="str">
        <f>"619216701062"</f>
        <v>619216701062</v>
      </c>
      <c r="D96" s="2">
        <v>2.75</v>
      </c>
      <c r="E96" s="278" t="s">
        <v>419</v>
      </c>
      <c r="F96" s="285" t="s">
        <v>584</v>
      </c>
    </row>
    <row r="97" spans="1:6" x14ac:dyDescent="0.25">
      <c r="A97" s="50" t="s">
        <v>437</v>
      </c>
      <c r="B97" s="102" t="s">
        <v>443</v>
      </c>
      <c r="C97" s="5" t="str">
        <f>"619216701048"</f>
        <v>619216701048</v>
      </c>
      <c r="D97" s="2">
        <v>2.56</v>
      </c>
      <c r="E97" s="278" t="s">
        <v>419</v>
      </c>
      <c r="F97" s="285" t="s">
        <v>585</v>
      </c>
    </row>
    <row r="98" spans="1:6" x14ac:dyDescent="0.25">
      <c r="A98" s="50" t="s">
        <v>437</v>
      </c>
      <c r="B98" s="102" t="s">
        <v>443</v>
      </c>
      <c r="C98" s="5" t="str">
        <f>"619216701064"</f>
        <v>619216701064</v>
      </c>
      <c r="D98" s="2">
        <v>2.54</v>
      </c>
      <c r="E98" s="278" t="s">
        <v>419</v>
      </c>
      <c r="F98" s="285" t="s">
        <v>586</v>
      </c>
    </row>
    <row r="99" spans="1:6" x14ac:dyDescent="0.25">
      <c r="A99" s="50" t="s">
        <v>444</v>
      </c>
      <c r="B99" s="29" t="s">
        <v>443</v>
      </c>
      <c r="C99" s="5" t="str">
        <f>"619216700986"</f>
        <v>619216700986</v>
      </c>
      <c r="D99" s="2">
        <v>1.99</v>
      </c>
      <c r="E99" s="281" t="s">
        <v>420</v>
      </c>
      <c r="F99" s="285" t="s">
        <v>587</v>
      </c>
    </row>
    <row r="100" spans="1:6" x14ac:dyDescent="0.25">
      <c r="A100" s="50" t="s">
        <v>444</v>
      </c>
      <c r="B100" s="29" t="s">
        <v>443</v>
      </c>
      <c r="C100" s="5" t="str">
        <f>"619216701014"</f>
        <v>619216701014</v>
      </c>
      <c r="D100" s="2">
        <v>1.99</v>
      </c>
      <c r="E100" s="281" t="s">
        <v>420</v>
      </c>
      <c r="F100" s="285" t="s">
        <v>588</v>
      </c>
    </row>
    <row r="101" spans="1:6" x14ac:dyDescent="0.25">
      <c r="A101" s="50" t="s">
        <v>444</v>
      </c>
      <c r="B101" s="29" t="s">
        <v>443</v>
      </c>
      <c r="C101" s="5" t="str">
        <f>"619216700995"</f>
        <v>619216700995</v>
      </c>
      <c r="D101" s="2">
        <v>1.97</v>
      </c>
      <c r="E101" s="281" t="s">
        <v>420</v>
      </c>
      <c r="F101" s="285" t="s">
        <v>589</v>
      </c>
    </row>
    <row r="102" spans="1:6" ht="15.75" thickBot="1" x14ac:dyDescent="0.3">
      <c r="A102" s="42" t="s">
        <v>444</v>
      </c>
      <c r="B102" s="100" t="s">
        <v>443</v>
      </c>
      <c r="C102" s="44" t="str">
        <f>"619216700997"</f>
        <v>619216700997</v>
      </c>
      <c r="D102" s="51">
        <v>1.96</v>
      </c>
      <c r="E102" s="282" t="s">
        <v>420</v>
      </c>
      <c r="F102" s="286" t="s">
        <v>590</v>
      </c>
    </row>
    <row r="103" spans="1:6" x14ac:dyDescent="0.25">
      <c r="A103" s="428" t="s">
        <v>799</v>
      </c>
      <c r="B103" s="429" t="s">
        <v>800</v>
      </c>
      <c r="C103" s="185" t="s">
        <v>801</v>
      </c>
      <c r="D103" s="430">
        <v>3.0592592592592593</v>
      </c>
      <c r="E103" s="431" t="s">
        <v>419</v>
      </c>
      <c r="F103" s="86"/>
    </row>
    <row r="104" spans="1:6" x14ac:dyDescent="0.25">
      <c r="A104" s="424" t="s">
        <v>799</v>
      </c>
      <c r="B104" s="425" t="s">
        <v>800</v>
      </c>
      <c r="C104" s="5" t="s">
        <v>802</v>
      </c>
      <c r="D104" s="9">
        <v>2.8074074074074069</v>
      </c>
      <c r="E104" s="426" t="s">
        <v>419</v>
      </c>
      <c r="F104" s="2"/>
    </row>
    <row r="105" spans="1:6" x14ac:dyDescent="0.25">
      <c r="A105" s="424" t="s">
        <v>799</v>
      </c>
      <c r="B105" s="425" t="s">
        <v>800</v>
      </c>
      <c r="C105" s="5" t="s">
        <v>803</v>
      </c>
      <c r="D105" s="9">
        <v>2.9481481481481477</v>
      </c>
      <c r="E105" s="426" t="s">
        <v>419</v>
      </c>
      <c r="F105" s="2"/>
    </row>
    <row r="106" spans="1:6" x14ac:dyDescent="0.25">
      <c r="A106" s="424" t="s">
        <v>799</v>
      </c>
      <c r="B106" s="425" t="s">
        <v>800</v>
      </c>
      <c r="C106" s="5" t="s">
        <v>804</v>
      </c>
      <c r="D106" s="9">
        <v>2.748148148148148</v>
      </c>
      <c r="E106" s="426" t="s">
        <v>419</v>
      </c>
      <c r="F106" s="2"/>
    </row>
    <row r="107" spans="1:6" x14ac:dyDescent="0.25">
      <c r="A107" s="424" t="s">
        <v>799</v>
      </c>
      <c r="B107" s="425" t="s">
        <v>800</v>
      </c>
      <c r="C107" s="5" t="s">
        <v>805</v>
      </c>
      <c r="D107" s="9">
        <v>2.925925925925926</v>
      </c>
      <c r="E107" s="426" t="s">
        <v>419</v>
      </c>
      <c r="F107" s="2"/>
    </row>
    <row r="108" spans="1:6" x14ac:dyDescent="0.25">
      <c r="A108" s="424" t="s">
        <v>799</v>
      </c>
      <c r="B108" s="425" t="s">
        <v>800</v>
      </c>
      <c r="C108" s="5" t="s">
        <v>806</v>
      </c>
      <c r="D108" s="9">
        <v>2.7851851851851852</v>
      </c>
      <c r="E108" s="426" t="s">
        <v>419</v>
      </c>
      <c r="F108" s="2"/>
    </row>
    <row r="109" spans="1:6" x14ac:dyDescent="0.25">
      <c r="A109" s="424" t="s">
        <v>799</v>
      </c>
      <c r="B109" s="425" t="s">
        <v>800</v>
      </c>
      <c r="C109" s="5" t="s">
        <v>807</v>
      </c>
      <c r="D109" s="9">
        <v>2.3111111111111109</v>
      </c>
      <c r="E109" s="426" t="s">
        <v>419</v>
      </c>
      <c r="F109" s="2"/>
    </row>
    <row r="110" spans="1:6" x14ac:dyDescent="0.25">
      <c r="A110" s="424" t="s">
        <v>799</v>
      </c>
      <c r="B110" s="425" t="s">
        <v>800</v>
      </c>
      <c r="C110" s="5" t="s">
        <v>808</v>
      </c>
      <c r="D110" s="9">
        <v>2.7740740740740737</v>
      </c>
      <c r="E110" s="426" t="s">
        <v>419</v>
      </c>
      <c r="F110" s="2"/>
    </row>
    <row r="111" spans="1:6" x14ac:dyDescent="0.25">
      <c r="A111" s="424" t="s">
        <v>799</v>
      </c>
      <c r="B111" s="425" t="s">
        <v>800</v>
      </c>
      <c r="C111" s="5" t="s">
        <v>809</v>
      </c>
      <c r="D111" s="9">
        <v>2.5481481481481483</v>
      </c>
      <c r="E111" s="426" t="s">
        <v>419</v>
      </c>
      <c r="F111" s="2"/>
    </row>
    <row r="112" spans="1:6" x14ac:dyDescent="0.25">
      <c r="A112" s="424" t="s">
        <v>799</v>
      </c>
      <c r="B112" s="425" t="s">
        <v>800</v>
      </c>
      <c r="C112" s="5" t="s">
        <v>810</v>
      </c>
      <c r="D112" s="9">
        <v>2.4851851851851858</v>
      </c>
      <c r="E112" s="426" t="s">
        <v>419</v>
      </c>
      <c r="F112" s="2"/>
    </row>
    <row r="113" spans="1:6" x14ac:dyDescent="0.25">
      <c r="A113" s="424" t="s">
        <v>799</v>
      </c>
      <c r="B113" s="425" t="s">
        <v>800</v>
      </c>
      <c r="C113" s="5" t="s">
        <v>811</v>
      </c>
      <c r="D113" s="9">
        <v>2.5814814814814815</v>
      </c>
      <c r="E113" s="426" t="s">
        <v>419</v>
      </c>
      <c r="F113" s="2"/>
    </row>
    <row r="114" spans="1:6" x14ac:dyDescent="0.25">
      <c r="A114" s="424" t="s">
        <v>799</v>
      </c>
      <c r="B114" s="425" t="s">
        <v>800</v>
      </c>
      <c r="C114" s="5" t="s">
        <v>812</v>
      </c>
      <c r="D114" s="9">
        <v>2.5222222222222221</v>
      </c>
      <c r="E114" s="426" t="s">
        <v>419</v>
      </c>
      <c r="F114" s="2"/>
    </row>
    <row r="115" spans="1:6" x14ac:dyDescent="0.25">
      <c r="A115" s="424" t="s">
        <v>799</v>
      </c>
      <c r="B115" s="425" t="s">
        <v>800</v>
      </c>
      <c r="C115" s="5" t="s">
        <v>813</v>
      </c>
      <c r="D115" s="9">
        <v>2.3296296296296304</v>
      </c>
      <c r="E115" s="427" t="s">
        <v>420</v>
      </c>
      <c r="F115" s="2"/>
    </row>
    <row r="116" spans="1:6" x14ac:dyDescent="0.25">
      <c r="A116" s="424" t="s">
        <v>799</v>
      </c>
      <c r="B116" s="425" t="s">
        <v>800</v>
      </c>
      <c r="C116" s="5" t="s">
        <v>814</v>
      </c>
      <c r="D116" s="9">
        <v>1.9851851851851852</v>
      </c>
      <c r="E116" s="427" t="s">
        <v>420</v>
      </c>
      <c r="F116" s="2"/>
    </row>
    <row r="117" spans="1:6" x14ac:dyDescent="0.25">
      <c r="A117" s="424" t="s">
        <v>799</v>
      </c>
      <c r="B117" s="425" t="s">
        <v>800</v>
      </c>
      <c r="C117" s="5" t="s">
        <v>815</v>
      </c>
      <c r="D117" s="9">
        <v>1.7148148148148148</v>
      </c>
      <c r="E117" s="427" t="s">
        <v>420</v>
      </c>
      <c r="F117" s="2"/>
    </row>
    <row r="118" spans="1:6" x14ac:dyDescent="0.25">
      <c r="A118" s="424" t="s">
        <v>799</v>
      </c>
      <c r="B118" s="425" t="s">
        <v>800</v>
      </c>
      <c r="C118" s="5" t="s">
        <v>816</v>
      </c>
      <c r="D118" s="9">
        <v>2.3592592592592592</v>
      </c>
      <c r="E118" s="427" t="s">
        <v>420</v>
      </c>
      <c r="F118" s="2"/>
    </row>
    <row r="119" spans="1:6" x14ac:dyDescent="0.25">
      <c r="A119" s="424" t="s">
        <v>799</v>
      </c>
      <c r="B119" s="425" t="s">
        <v>800</v>
      </c>
      <c r="C119" s="5" t="s">
        <v>817</v>
      </c>
      <c r="D119" s="9">
        <v>1.8481481481481485</v>
      </c>
      <c r="E119" s="427" t="s">
        <v>420</v>
      </c>
      <c r="F119" s="2"/>
    </row>
    <row r="120" spans="1:6" x14ac:dyDescent="0.25">
      <c r="A120" s="424" t="s">
        <v>799</v>
      </c>
      <c r="B120" s="425" t="s">
        <v>800</v>
      </c>
      <c r="C120" s="5" t="s">
        <v>818</v>
      </c>
      <c r="D120" s="9">
        <v>2.2592592592592591</v>
      </c>
      <c r="E120" s="427" t="s">
        <v>420</v>
      </c>
      <c r="F120" s="2"/>
    </row>
    <row r="121" spans="1:6" x14ac:dyDescent="0.25">
      <c r="A121" s="424" t="s">
        <v>799</v>
      </c>
      <c r="B121" s="425" t="s">
        <v>800</v>
      </c>
      <c r="C121" s="5" t="s">
        <v>819</v>
      </c>
      <c r="D121" s="9">
        <v>2.4111111111111114</v>
      </c>
      <c r="E121" s="427" t="s">
        <v>420</v>
      </c>
      <c r="F121" s="2"/>
    </row>
    <row r="122" spans="1:6" x14ac:dyDescent="0.25">
      <c r="A122" s="424" t="s">
        <v>799</v>
      </c>
      <c r="B122" s="425" t="s">
        <v>800</v>
      </c>
      <c r="C122" s="5" t="s">
        <v>820</v>
      </c>
      <c r="D122" s="9">
        <v>1.6074074074074076</v>
      </c>
      <c r="E122" s="427" t="s">
        <v>420</v>
      </c>
      <c r="F122" s="2"/>
    </row>
    <row r="123" spans="1:6" x14ac:dyDescent="0.25">
      <c r="A123" s="424" t="s">
        <v>799</v>
      </c>
      <c r="B123" s="425" t="s">
        <v>800</v>
      </c>
      <c r="C123" s="5" t="s">
        <v>821</v>
      </c>
      <c r="D123" s="9">
        <v>2.3703703703703702</v>
      </c>
      <c r="E123" s="427" t="s">
        <v>420</v>
      </c>
      <c r="F123" s="2"/>
    </row>
    <row r="124" spans="1:6" x14ac:dyDescent="0.25">
      <c r="A124" s="424" t="s">
        <v>799</v>
      </c>
      <c r="B124" s="425" t="s">
        <v>800</v>
      </c>
      <c r="C124" s="5" t="s">
        <v>822</v>
      </c>
      <c r="D124" s="9">
        <v>2.177777777777778</v>
      </c>
      <c r="E124" s="427" t="s">
        <v>420</v>
      </c>
      <c r="F124" s="2"/>
    </row>
    <row r="125" spans="1:6" x14ac:dyDescent="0.25">
      <c r="A125" s="424" t="s">
        <v>799</v>
      </c>
      <c r="B125" s="425" t="s">
        <v>800</v>
      </c>
      <c r="C125" s="5" t="s">
        <v>823</v>
      </c>
      <c r="D125" s="9">
        <v>2.0962962962962965</v>
      </c>
      <c r="E125" s="427" t="s">
        <v>420</v>
      </c>
      <c r="F125" s="2"/>
    </row>
    <row r="126" spans="1:6" x14ac:dyDescent="0.25">
      <c r="A126" s="424" t="s">
        <v>799</v>
      </c>
      <c r="B126" s="425" t="s">
        <v>800</v>
      </c>
      <c r="C126" s="5" t="s">
        <v>824</v>
      </c>
      <c r="D126" s="9">
        <v>1.6148148148148149</v>
      </c>
      <c r="E126" s="427" t="s">
        <v>420</v>
      </c>
      <c r="F126" s="2"/>
    </row>
    <row r="127" spans="1:6" x14ac:dyDescent="0.25">
      <c r="A127" s="424" t="s">
        <v>799</v>
      </c>
      <c r="B127" s="425" t="s">
        <v>800</v>
      </c>
      <c r="C127" s="5" t="s">
        <v>825</v>
      </c>
      <c r="D127" s="9">
        <v>2.4740740740740743</v>
      </c>
      <c r="E127" s="427" t="s">
        <v>420</v>
      </c>
      <c r="F127" s="2"/>
    </row>
    <row r="128" spans="1:6" x14ac:dyDescent="0.25">
      <c r="A128" s="424" t="s">
        <v>799</v>
      </c>
      <c r="B128" s="425" t="s">
        <v>800</v>
      </c>
      <c r="C128" s="5" t="s">
        <v>826</v>
      </c>
      <c r="D128" s="9">
        <v>2.4888888888888889</v>
      </c>
      <c r="E128" s="427" t="s">
        <v>420</v>
      </c>
      <c r="F128" s="2"/>
    </row>
    <row r="129" spans="1:6" x14ac:dyDescent="0.25">
      <c r="A129" s="424" t="s">
        <v>799</v>
      </c>
      <c r="B129" s="425" t="s">
        <v>800</v>
      </c>
      <c r="C129" s="5" t="s">
        <v>827</v>
      </c>
      <c r="D129" s="9">
        <v>2.6259259259259262</v>
      </c>
      <c r="E129" s="427" t="s">
        <v>420</v>
      </c>
      <c r="F129" s="2"/>
    </row>
    <row r="130" spans="1:6" x14ac:dyDescent="0.25">
      <c r="A130" s="424" t="s">
        <v>799</v>
      </c>
      <c r="B130" s="425" t="s">
        <v>800</v>
      </c>
      <c r="C130" s="5" t="s">
        <v>828</v>
      </c>
      <c r="D130" s="9">
        <v>2.1296296296296298</v>
      </c>
      <c r="E130" s="427" t="s">
        <v>420</v>
      </c>
      <c r="F130" s="2"/>
    </row>
    <row r="131" spans="1:6" x14ac:dyDescent="0.25">
      <c r="A131" s="424" t="s">
        <v>799</v>
      </c>
      <c r="B131" s="425" t="s">
        <v>800</v>
      </c>
      <c r="C131" s="5" t="s">
        <v>829</v>
      </c>
      <c r="D131" s="9">
        <v>2.0925925925925921</v>
      </c>
      <c r="E131" s="427" t="s">
        <v>420</v>
      </c>
      <c r="F131" s="2"/>
    </row>
    <row r="132" spans="1:6" x14ac:dyDescent="0.25">
      <c r="A132" s="424" t="s">
        <v>799</v>
      </c>
      <c r="B132" s="425" t="s">
        <v>800</v>
      </c>
      <c r="C132" s="5" t="s">
        <v>830</v>
      </c>
      <c r="D132" s="9">
        <v>2.6407407407407408</v>
      </c>
      <c r="E132" s="427" t="s">
        <v>420</v>
      </c>
      <c r="F132" s="2"/>
    </row>
    <row r="133" spans="1:6" x14ac:dyDescent="0.25">
      <c r="A133" s="424" t="s">
        <v>799</v>
      </c>
      <c r="B133" s="425" t="s">
        <v>800</v>
      </c>
      <c r="C133" s="5" t="s">
        <v>831</v>
      </c>
      <c r="D133" s="9">
        <v>2.6962962962962966</v>
      </c>
      <c r="E133" s="427" t="s">
        <v>420</v>
      </c>
      <c r="F133" s="2"/>
    </row>
    <row r="134" spans="1:6" x14ac:dyDescent="0.25">
      <c r="A134" s="424" t="s">
        <v>799</v>
      </c>
      <c r="B134" s="425" t="s">
        <v>800</v>
      </c>
      <c r="C134" s="5" t="s">
        <v>832</v>
      </c>
      <c r="D134" s="9">
        <v>1.9888888888888892</v>
      </c>
      <c r="E134" s="427" t="s">
        <v>420</v>
      </c>
      <c r="F134" s="2"/>
    </row>
    <row r="135" spans="1:6" x14ac:dyDescent="0.25">
      <c r="A135" s="424" t="s">
        <v>799</v>
      </c>
      <c r="B135" s="425" t="s">
        <v>800</v>
      </c>
      <c r="C135" s="5" t="s">
        <v>833</v>
      </c>
      <c r="D135" s="2" t="s">
        <v>836</v>
      </c>
      <c r="E135" s="2"/>
      <c r="F135" s="2"/>
    </row>
    <row r="136" spans="1:6" x14ac:dyDescent="0.25">
      <c r="A136" s="424" t="s">
        <v>799</v>
      </c>
      <c r="B136" s="425" t="s">
        <v>800</v>
      </c>
      <c r="C136" s="5" t="s">
        <v>834</v>
      </c>
      <c r="D136" s="2" t="s">
        <v>836</v>
      </c>
      <c r="E136" s="2"/>
      <c r="F136" s="2"/>
    </row>
    <row r="137" spans="1:6" ht="15.75" thickBot="1" x14ac:dyDescent="0.3">
      <c r="A137" s="432" t="s">
        <v>799</v>
      </c>
      <c r="B137" s="433" t="s">
        <v>800</v>
      </c>
      <c r="C137" s="44" t="s">
        <v>835</v>
      </c>
      <c r="D137" s="51" t="s">
        <v>836</v>
      </c>
      <c r="E137" s="51"/>
      <c r="F137" s="51"/>
    </row>
    <row r="138" spans="1:6" x14ac:dyDescent="0.25">
      <c r="A138" t="s">
        <v>981</v>
      </c>
      <c r="B138" s="528" t="s">
        <v>438</v>
      </c>
      <c r="C138" s="21" t="s">
        <v>982</v>
      </c>
      <c r="D138" s="86">
        <v>2.97</v>
      </c>
      <c r="E138" s="529" t="s">
        <v>419</v>
      </c>
      <c r="F138" s="284" t="s">
        <v>578</v>
      </c>
    </row>
    <row r="139" spans="1:6" x14ac:dyDescent="0.25">
      <c r="A139" s="2" t="s">
        <v>981</v>
      </c>
      <c r="B139" s="425" t="s">
        <v>438</v>
      </c>
      <c r="C139" s="5" t="s">
        <v>983</v>
      </c>
      <c r="D139" s="2">
        <v>2.89</v>
      </c>
      <c r="E139" s="426" t="s">
        <v>419</v>
      </c>
      <c r="F139" s="285" t="s">
        <v>579</v>
      </c>
    </row>
    <row r="140" spans="1:6" x14ac:dyDescent="0.25">
      <c r="A140" s="2" t="s">
        <v>981</v>
      </c>
      <c r="B140" s="425" t="s">
        <v>438</v>
      </c>
      <c r="C140" s="5" t="s">
        <v>984</v>
      </c>
      <c r="D140" s="2">
        <v>2.83</v>
      </c>
      <c r="E140" s="426" t="s">
        <v>419</v>
      </c>
      <c r="F140" s="285" t="s">
        <v>580</v>
      </c>
    </row>
    <row r="141" spans="1:6" x14ac:dyDescent="0.25">
      <c r="A141" s="2" t="s">
        <v>981</v>
      </c>
      <c r="B141" s="425" t="s">
        <v>438</v>
      </c>
      <c r="C141" s="5" t="s">
        <v>985</v>
      </c>
      <c r="D141" s="2">
        <v>2.65</v>
      </c>
      <c r="E141" s="426" t="s">
        <v>419</v>
      </c>
      <c r="F141" s="285" t="s">
        <v>581</v>
      </c>
    </row>
    <row r="142" spans="1:6" x14ac:dyDescent="0.25">
      <c r="A142" s="2" t="s">
        <v>981</v>
      </c>
      <c r="B142" s="425" t="s">
        <v>438</v>
      </c>
      <c r="C142" s="5" t="s">
        <v>986</v>
      </c>
      <c r="D142" s="2">
        <v>2.64</v>
      </c>
      <c r="E142" s="426" t="s">
        <v>419</v>
      </c>
      <c r="F142" s="285" t="s">
        <v>582</v>
      </c>
    </row>
    <row r="143" spans="1:6" x14ac:dyDescent="0.25">
      <c r="A143" s="2" t="s">
        <v>981</v>
      </c>
      <c r="B143" s="425" t="s">
        <v>438</v>
      </c>
      <c r="C143" s="5" t="s">
        <v>987</v>
      </c>
      <c r="D143" s="2">
        <v>2.63</v>
      </c>
      <c r="E143" s="426" t="s">
        <v>419</v>
      </c>
      <c r="F143" s="285" t="s">
        <v>583</v>
      </c>
    </row>
    <row r="144" spans="1:6" x14ac:dyDescent="0.25">
      <c r="A144" s="2" t="s">
        <v>981</v>
      </c>
      <c r="B144" s="425" t="s">
        <v>438</v>
      </c>
      <c r="C144" s="5" t="s">
        <v>988</v>
      </c>
      <c r="D144" s="2">
        <v>2.62</v>
      </c>
      <c r="E144" s="426" t="s">
        <v>419</v>
      </c>
      <c r="F144" s="285" t="s">
        <v>584</v>
      </c>
    </row>
    <row r="145" spans="1:6" x14ac:dyDescent="0.25">
      <c r="A145" s="2" t="s">
        <v>981</v>
      </c>
      <c r="B145" s="425" t="s">
        <v>438</v>
      </c>
      <c r="C145" s="5" t="s">
        <v>989</v>
      </c>
      <c r="D145" s="2">
        <v>2.57</v>
      </c>
      <c r="E145" s="426" t="s">
        <v>419</v>
      </c>
      <c r="F145" s="285" t="s">
        <v>585</v>
      </c>
    </row>
    <row r="146" spans="1:6" x14ac:dyDescent="0.25">
      <c r="A146" s="2" t="s">
        <v>981</v>
      </c>
      <c r="B146" s="425" t="s">
        <v>438</v>
      </c>
      <c r="C146" s="5" t="s">
        <v>990</v>
      </c>
      <c r="D146" s="2">
        <v>2.56</v>
      </c>
      <c r="E146" s="426" t="s">
        <v>419</v>
      </c>
      <c r="F146" s="285" t="s">
        <v>586</v>
      </c>
    </row>
    <row r="147" spans="1:6" x14ac:dyDescent="0.25">
      <c r="A147" s="2" t="s">
        <v>981</v>
      </c>
      <c r="B147" s="425" t="s">
        <v>438</v>
      </c>
      <c r="C147" s="5" t="s">
        <v>991</v>
      </c>
      <c r="D147" s="2">
        <v>2.56</v>
      </c>
      <c r="E147" s="426" t="s">
        <v>419</v>
      </c>
      <c r="F147" s="285" t="s">
        <v>587</v>
      </c>
    </row>
    <row r="148" spans="1:6" x14ac:dyDescent="0.25">
      <c r="A148" s="2" t="s">
        <v>981</v>
      </c>
      <c r="B148" s="425" t="s">
        <v>438</v>
      </c>
      <c r="C148" s="5" t="s">
        <v>992</v>
      </c>
      <c r="D148" s="2">
        <v>2.34</v>
      </c>
      <c r="E148" s="426" t="s">
        <v>419</v>
      </c>
      <c r="F148" s="285" t="s">
        <v>588</v>
      </c>
    </row>
    <row r="149" spans="1:6" x14ac:dyDescent="0.25">
      <c r="A149" s="2" t="s">
        <v>981</v>
      </c>
      <c r="B149" s="425" t="s">
        <v>438</v>
      </c>
      <c r="C149" s="5" t="s">
        <v>993</v>
      </c>
      <c r="D149" s="2">
        <v>2.23</v>
      </c>
      <c r="E149" s="426" t="s">
        <v>419</v>
      </c>
      <c r="F149" s="285" t="s">
        <v>589</v>
      </c>
    </row>
    <row r="150" spans="1:6" x14ac:dyDescent="0.25">
      <c r="A150" s="2" t="s">
        <v>981</v>
      </c>
      <c r="B150" s="425" t="s">
        <v>438</v>
      </c>
      <c r="C150" s="5" t="s">
        <v>994</v>
      </c>
      <c r="D150" s="2">
        <v>2.1800000000000002</v>
      </c>
      <c r="E150" s="426" t="s">
        <v>419</v>
      </c>
      <c r="F150" s="285" t="s">
        <v>590</v>
      </c>
    </row>
    <row r="151" spans="1:6" x14ac:dyDescent="0.25">
      <c r="A151" s="2" t="s">
        <v>981</v>
      </c>
      <c r="B151" s="425" t="s">
        <v>438</v>
      </c>
      <c r="C151" s="5" t="s">
        <v>995</v>
      </c>
      <c r="D151" s="2">
        <v>2.08</v>
      </c>
      <c r="E151" s="426" t="s">
        <v>419</v>
      </c>
      <c r="F151" s="285" t="s">
        <v>591</v>
      </c>
    </row>
    <row r="152" spans="1:6" x14ac:dyDescent="0.25">
      <c r="A152" s="2" t="s">
        <v>981</v>
      </c>
      <c r="B152" s="425" t="s">
        <v>438</v>
      </c>
      <c r="C152" s="5" t="s">
        <v>996</v>
      </c>
      <c r="D152" s="2">
        <v>2.06</v>
      </c>
      <c r="E152" s="426" t="s">
        <v>419</v>
      </c>
      <c r="F152" s="285" t="s">
        <v>592</v>
      </c>
    </row>
    <row r="153" spans="1:6" x14ac:dyDescent="0.25">
      <c r="A153" s="2" t="s">
        <v>981</v>
      </c>
      <c r="B153" s="425" t="s">
        <v>438</v>
      </c>
      <c r="C153" s="5" t="s">
        <v>997</v>
      </c>
      <c r="D153" s="2">
        <v>2.04</v>
      </c>
      <c r="E153" s="427" t="s">
        <v>420</v>
      </c>
      <c r="F153" s="285" t="s">
        <v>593</v>
      </c>
    </row>
    <row r="154" spans="1:6" x14ac:dyDescent="0.25">
      <c r="A154" s="2" t="s">
        <v>981</v>
      </c>
      <c r="B154" s="425" t="s">
        <v>438</v>
      </c>
      <c r="C154" s="5" t="s">
        <v>998</v>
      </c>
      <c r="D154" s="2">
        <v>1.98</v>
      </c>
      <c r="E154" s="427" t="s">
        <v>420</v>
      </c>
      <c r="F154" s="285" t="s">
        <v>594</v>
      </c>
    </row>
    <row r="155" spans="1:6" x14ac:dyDescent="0.25">
      <c r="A155" s="2" t="s">
        <v>981</v>
      </c>
      <c r="B155" s="425" t="s">
        <v>438</v>
      </c>
      <c r="C155" s="5" t="s">
        <v>999</v>
      </c>
      <c r="D155" s="2">
        <v>1.91</v>
      </c>
      <c r="E155" s="427" t="s">
        <v>420</v>
      </c>
      <c r="F155" s="285" t="s">
        <v>595</v>
      </c>
    </row>
    <row r="156" spans="1:6" x14ac:dyDescent="0.25">
      <c r="A156" s="2" t="s">
        <v>981</v>
      </c>
      <c r="B156" s="425" t="s">
        <v>438</v>
      </c>
      <c r="C156" s="5" t="s">
        <v>1000</v>
      </c>
      <c r="D156" s="2">
        <v>1.84</v>
      </c>
      <c r="E156" s="427" t="s">
        <v>420</v>
      </c>
      <c r="F156" s="285" t="s">
        <v>596</v>
      </c>
    </row>
    <row r="157" spans="1:6" x14ac:dyDescent="0.25">
      <c r="A157" s="2" t="s">
        <v>981</v>
      </c>
      <c r="B157" s="425" t="s">
        <v>438</v>
      </c>
      <c r="C157" s="5" t="s">
        <v>1001</v>
      </c>
      <c r="D157" s="2">
        <v>1.8</v>
      </c>
      <c r="E157" s="427" t="s">
        <v>420</v>
      </c>
      <c r="F157" s="285" t="s">
        <v>597</v>
      </c>
    </row>
    <row r="158" spans="1:6" x14ac:dyDescent="0.25">
      <c r="A158" s="2" t="s">
        <v>981</v>
      </c>
      <c r="B158" s="425" t="s">
        <v>438</v>
      </c>
      <c r="C158" s="5" t="s">
        <v>1002</v>
      </c>
      <c r="D158" s="2">
        <v>1.71</v>
      </c>
      <c r="E158" s="427" t="s">
        <v>420</v>
      </c>
      <c r="F158" s="285" t="s">
        <v>598</v>
      </c>
    </row>
    <row r="159" spans="1:6" x14ac:dyDescent="0.25">
      <c r="A159" s="2" t="s">
        <v>981</v>
      </c>
      <c r="B159" s="425" t="s">
        <v>438</v>
      </c>
      <c r="C159" s="5" t="s">
        <v>1003</v>
      </c>
      <c r="D159" s="2">
        <v>1.65</v>
      </c>
      <c r="E159" s="427" t="s">
        <v>420</v>
      </c>
      <c r="F159" s="285" t="s">
        <v>599</v>
      </c>
    </row>
    <row r="160" spans="1:6" x14ac:dyDescent="0.25">
      <c r="A160" s="2" t="s">
        <v>981</v>
      </c>
      <c r="B160" s="425" t="s">
        <v>438</v>
      </c>
      <c r="C160" s="5" t="s">
        <v>1004</v>
      </c>
      <c r="D160" s="2">
        <v>1.63</v>
      </c>
      <c r="E160" s="427" t="s">
        <v>420</v>
      </c>
      <c r="F160" s="285" t="s">
        <v>600</v>
      </c>
    </row>
    <row r="161" spans="1:6" x14ac:dyDescent="0.25">
      <c r="A161" s="2" t="s">
        <v>981</v>
      </c>
      <c r="B161" s="425" t="s">
        <v>438</v>
      </c>
      <c r="C161" s="5" t="s">
        <v>1005</v>
      </c>
      <c r="D161" s="2">
        <v>1.49</v>
      </c>
      <c r="E161" s="427" t="s">
        <v>420</v>
      </c>
      <c r="F161" s="285" t="s">
        <v>616</v>
      </c>
    </row>
    <row r="162" spans="1:6" x14ac:dyDescent="0.25">
      <c r="A162" s="2" t="s">
        <v>981</v>
      </c>
      <c r="B162" s="425" t="s">
        <v>438</v>
      </c>
      <c r="C162" s="5" t="s">
        <v>1006</v>
      </c>
      <c r="D162" s="2">
        <v>1.26</v>
      </c>
      <c r="E162" s="427" t="s">
        <v>420</v>
      </c>
      <c r="F162" s="285" t="s">
        <v>617</v>
      </c>
    </row>
    <row r="163" spans="1:6" x14ac:dyDescent="0.25">
      <c r="A163" s="2" t="s">
        <v>981</v>
      </c>
      <c r="B163" s="425" t="s">
        <v>438</v>
      </c>
      <c r="C163" s="5" t="s">
        <v>1007</v>
      </c>
      <c r="D163" s="2">
        <v>1.1000000000000001</v>
      </c>
      <c r="E163" s="427" t="s">
        <v>420</v>
      </c>
      <c r="F163" s="285" t="s">
        <v>618</v>
      </c>
    </row>
    <row r="164" spans="1:6" x14ac:dyDescent="0.25">
      <c r="A164" s="2" t="s">
        <v>981</v>
      </c>
      <c r="B164" s="425" t="s">
        <v>438</v>
      </c>
      <c r="C164" s="5" t="s">
        <v>1008</v>
      </c>
      <c r="D164" s="2" t="s">
        <v>836</v>
      </c>
      <c r="E164" s="2"/>
      <c r="F164" s="285"/>
    </row>
    <row r="165" spans="1:6" x14ac:dyDescent="0.25">
      <c r="A165" s="2" t="s">
        <v>981</v>
      </c>
      <c r="B165" s="425" t="s">
        <v>438</v>
      </c>
      <c r="C165" s="5" t="s">
        <v>1009</v>
      </c>
      <c r="D165" s="2" t="s">
        <v>836</v>
      </c>
      <c r="E165" s="2"/>
      <c r="F165" s="285"/>
    </row>
    <row r="166" spans="1:6" x14ac:dyDescent="0.25">
      <c r="A166" s="2" t="s">
        <v>981</v>
      </c>
      <c r="B166" s="425" t="s">
        <v>438</v>
      </c>
      <c r="C166" s="5" t="s">
        <v>1010</v>
      </c>
      <c r="D166" s="2" t="s">
        <v>836</v>
      </c>
      <c r="E166" s="2"/>
      <c r="F166" s="285"/>
    </row>
    <row r="167" spans="1:6" ht="15.75" thickBot="1" x14ac:dyDescent="0.3">
      <c r="A167" s="51" t="s">
        <v>981</v>
      </c>
      <c r="B167" s="433" t="s">
        <v>438</v>
      </c>
      <c r="C167" s="44" t="s">
        <v>1011</v>
      </c>
      <c r="D167" s="51" t="s">
        <v>836</v>
      </c>
      <c r="E167" s="51"/>
      <c r="F167" s="285"/>
    </row>
    <row r="168" spans="1:6" x14ac:dyDescent="0.25">
      <c r="A168" s="86" t="s">
        <v>981</v>
      </c>
      <c r="B168" s="429" t="s">
        <v>274</v>
      </c>
      <c r="C168" s="185" t="s">
        <v>1012</v>
      </c>
      <c r="D168" s="86">
        <v>3</v>
      </c>
      <c r="E168" s="431" t="s">
        <v>419</v>
      </c>
      <c r="F168" s="284" t="s">
        <v>578</v>
      </c>
    </row>
    <row r="169" spans="1:6" x14ac:dyDescent="0.25">
      <c r="A169" s="2" t="s">
        <v>981</v>
      </c>
      <c r="B169" s="425" t="s">
        <v>274</v>
      </c>
      <c r="C169" s="5" t="s">
        <v>1013</v>
      </c>
      <c r="D169" s="2">
        <v>2.84</v>
      </c>
      <c r="E169" s="426" t="s">
        <v>419</v>
      </c>
      <c r="F169" s="285" t="s">
        <v>579</v>
      </c>
    </row>
    <row r="170" spans="1:6" x14ac:dyDescent="0.25">
      <c r="A170" s="2" t="s">
        <v>981</v>
      </c>
      <c r="B170" s="425" t="s">
        <v>274</v>
      </c>
      <c r="C170" s="5" t="s">
        <v>1014</v>
      </c>
      <c r="D170" s="2">
        <v>2.78</v>
      </c>
      <c r="E170" s="426" t="s">
        <v>419</v>
      </c>
      <c r="F170" s="285" t="s">
        <v>580</v>
      </c>
    </row>
    <row r="171" spans="1:6" x14ac:dyDescent="0.25">
      <c r="A171" s="2" t="s">
        <v>981</v>
      </c>
      <c r="B171" s="425" t="s">
        <v>274</v>
      </c>
      <c r="C171" s="5" t="s">
        <v>1015</v>
      </c>
      <c r="D171" s="2">
        <v>2.63</v>
      </c>
      <c r="E171" s="426" t="s">
        <v>419</v>
      </c>
      <c r="F171" s="285" t="s">
        <v>581</v>
      </c>
    </row>
    <row r="172" spans="1:6" x14ac:dyDescent="0.25">
      <c r="A172" s="2" t="s">
        <v>981</v>
      </c>
      <c r="B172" s="425" t="s">
        <v>274</v>
      </c>
      <c r="C172" s="5" t="s">
        <v>1016</v>
      </c>
      <c r="D172" s="2">
        <v>2.19</v>
      </c>
      <c r="E172" s="426" t="s">
        <v>419</v>
      </c>
      <c r="F172" s="285" t="s">
        <v>582</v>
      </c>
    </row>
    <row r="173" spans="1:6" x14ac:dyDescent="0.25">
      <c r="A173" s="2" t="s">
        <v>981</v>
      </c>
      <c r="B173" s="425" t="s">
        <v>274</v>
      </c>
      <c r="C173" s="5" t="s">
        <v>1017</v>
      </c>
      <c r="D173" s="2">
        <v>1.99</v>
      </c>
      <c r="E173" s="427" t="s">
        <v>420</v>
      </c>
      <c r="F173" s="285" t="s">
        <v>583</v>
      </c>
    </row>
    <row r="174" spans="1:6" ht="15.75" thickBot="1" x14ac:dyDescent="0.3">
      <c r="A174" s="51" t="s">
        <v>981</v>
      </c>
      <c r="B174" s="433" t="s">
        <v>274</v>
      </c>
      <c r="C174" s="44" t="s">
        <v>1018</v>
      </c>
      <c r="D174" s="51">
        <v>1.97</v>
      </c>
      <c r="E174" s="530" t="s">
        <v>420</v>
      </c>
      <c r="F174" s="607" t="s">
        <v>584</v>
      </c>
    </row>
    <row r="175" spans="1:6" x14ac:dyDescent="0.25">
      <c r="A175" s="371" t="s">
        <v>1144</v>
      </c>
      <c r="B175" s="425" t="s">
        <v>800</v>
      </c>
      <c r="C175">
        <v>19201800524</v>
      </c>
      <c r="D175">
        <v>3.21</v>
      </c>
      <c r="E175" s="426" t="s">
        <v>419</v>
      </c>
      <c r="F175" s="2"/>
    </row>
    <row r="176" spans="1:6" x14ac:dyDescent="0.25">
      <c r="A176" s="371" t="s">
        <v>1144</v>
      </c>
      <c r="B176" s="425" t="s">
        <v>800</v>
      </c>
      <c r="C176">
        <v>19201800503</v>
      </c>
      <c r="D176">
        <v>3</v>
      </c>
      <c r="E176" s="426" t="s">
        <v>419</v>
      </c>
      <c r="F176" s="2"/>
    </row>
    <row r="177" spans="1:6" x14ac:dyDescent="0.25">
      <c r="A177" s="371" t="s">
        <v>1144</v>
      </c>
      <c r="B177" s="425" t="s">
        <v>800</v>
      </c>
      <c r="C177">
        <v>19201800504</v>
      </c>
      <c r="D177">
        <v>2.95</v>
      </c>
      <c r="E177" s="426" t="s">
        <v>419</v>
      </c>
      <c r="F177" s="2"/>
    </row>
    <row r="178" spans="1:6" x14ac:dyDescent="0.25">
      <c r="A178" s="371" t="s">
        <v>1144</v>
      </c>
      <c r="B178" s="425" t="s">
        <v>800</v>
      </c>
      <c r="C178">
        <v>19201800511</v>
      </c>
      <c r="D178">
        <v>2.92</v>
      </c>
      <c r="E178" s="426" t="s">
        <v>419</v>
      </c>
      <c r="F178" s="2"/>
    </row>
    <row r="179" spans="1:6" x14ac:dyDescent="0.25">
      <c r="A179" s="371" t="s">
        <v>1144</v>
      </c>
      <c r="B179" s="425" t="s">
        <v>800</v>
      </c>
      <c r="C179">
        <v>19201800505</v>
      </c>
      <c r="D179">
        <v>2.8</v>
      </c>
      <c r="E179" s="426" t="s">
        <v>419</v>
      </c>
      <c r="F179" s="2"/>
    </row>
    <row r="180" spans="1:6" x14ac:dyDescent="0.25">
      <c r="A180" s="371" t="s">
        <v>1144</v>
      </c>
      <c r="B180" s="425" t="s">
        <v>800</v>
      </c>
      <c r="C180">
        <v>19201800493</v>
      </c>
      <c r="D180">
        <v>2.72</v>
      </c>
      <c r="E180" s="426" t="s">
        <v>419</v>
      </c>
      <c r="F180" s="2"/>
    </row>
    <row r="181" spans="1:6" x14ac:dyDescent="0.25">
      <c r="A181" s="371" t="s">
        <v>1144</v>
      </c>
      <c r="B181" s="425" t="s">
        <v>800</v>
      </c>
      <c r="C181">
        <v>19201800516</v>
      </c>
      <c r="D181">
        <v>2.72</v>
      </c>
      <c r="E181" s="426" t="s">
        <v>419</v>
      </c>
      <c r="F181" s="2"/>
    </row>
    <row r="182" spans="1:6" x14ac:dyDescent="0.25">
      <c r="A182" s="371" t="s">
        <v>1144</v>
      </c>
      <c r="B182" s="425" t="s">
        <v>800</v>
      </c>
      <c r="C182">
        <v>19201800502</v>
      </c>
      <c r="D182">
        <v>2.68</v>
      </c>
      <c r="E182" s="426" t="s">
        <v>419</v>
      </c>
      <c r="F182" s="2"/>
    </row>
    <row r="183" spans="1:6" x14ac:dyDescent="0.25">
      <c r="A183" s="371" t="s">
        <v>1144</v>
      </c>
      <c r="B183" s="425" t="s">
        <v>800</v>
      </c>
      <c r="C183">
        <v>19201800443</v>
      </c>
      <c r="D183">
        <v>2.62</v>
      </c>
      <c r="E183" s="426" t="s">
        <v>419</v>
      </c>
      <c r="F183" s="2"/>
    </row>
    <row r="184" spans="1:6" x14ac:dyDescent="0.25">
      <c r="A184" s="371" t="s">
        <v>1144</v>
      </c>
      <c r="B184" s="425" t="s">
        <v>800</v>
      </c>
      <c r="C184">
        <v>19201800501</v>
      </c>
      <c r="D184">
        <v>2.6</v>
      </c>
      <c r="E184" s="426" t="s">
        <v>419</v>
      </c>
      <c r="F184" s="2"/>
    </row>
    <row r="185" spans="1:6" x14ac:dyDescent="0.25">
      <c r="A185" s="371" t="s">
        <v>1144</v>
      </c>
      <c r="B185" s="425" t="s">
        <v>800</v>
      </c>
      <c r="C185">
        <v>19201800485</v>
      </c>
      <c r="D185">
        <v>2.57</v>
      </c>
      <c r="E185" s="426" t="s">
        <v>419</v>
      </c>
      <c r="F185" s="2"/>
    </row>
    <row r="186" spans="1:6" x14ac:dyDescent="0.25">
      <c r="A186" s="371" t="s">
        <v>1144</v>
      </c>
      <c r="B186" s="425" t="s">
        <v>800</v>
      </c>
      <c r="C186">
        <v>19201800519</v>
      </c>
      <c r="D186">
        <v>2.5299999999999998</v>
      </c>
      <c r="E186" s="426" t="s">
        <v>419</v>
      </c>
      <c r="F186" s="2"/>
    </row>
    <row r="187" spans="1:6" x14ac:dyDescent="0.25">
      <c r="A187" s="371" t="s">
        <v>1144</v>
      </c>
      <c r="B187" s="425" t="s">
        <v>800</v>
      </c>
      <c r="C187">
        <v>19201800373</v>
      </c>
      <c r="D187">
        <v>2.5</v>
      </c>
      <c r="E187" s="426" t="s">
        <v>419</v>
      </c>
      <c r="F187" s="2"/>
    </row>
    <row r="188" spans="1:6" x14ac:dyDescent="0.25">
      <c r="A188" s="371" t="s">
        <v>1144</v>
      </c>
      <c r="B188" s="425" t="s">
        <v>800</v>
      </c>
      <c r="C188">
        <v>19201800523</v>
      </c>
      <c r="D188">
        <v>2.48</v>
      </c>
      <c r="E188" s="426" t="s">
        <v>419</v>
      </c>
      <c r="F188" s="2"/>
    </row>
    <row r="189" spans="1:6" x14ac:dyDescent="0.25">
      <c r="A189" s="371" t="s">
        <v>1144</v>
      </c>
      <c r="B189" s="425" t="s">
        <v>800</v>
      </c>
      <c r="C189">
        <v>19201800455</v>
      </c>
      <c r="D189">
        <v>2.4700000000000002</v>
      </c>
      <c r="E189" s="427" t="s">
        <v>420</v>
      </c>
      <c r="F189" s="2"/>
    </row>
    <row r="190" spans="1:6" x14ac:dyDescent="0.25">
      <c r="A190" s="371" t="s">
        <v>1144</v>
      </c>
      <c r="B190" s="425" t="s">
        <v>800</v>
      </c>
      <c r="C190">
        <v>19201800508</v>
      </c>
      <c r="D190">
        <v>2.44</v>
      </c>
      <c r="E190" s="427" t="s">
        <v>420</v>
      </c>
      <c r="F190" s="2"/>
    </row>
    <row r="191" spans="1:6" x14ac:dyDescent="0.25">
      <c r="A191" s="371" t="s">
        <v>1144</v>
      </c>
      <c r="B191" s="425" t="s">
        <v>800</v>
      </c>
      <c r="C191">
        <v>19201800432</v>
      </c>
      <c r="D191">
        <v>2.4</v>
      </c>
      <c r="E191" s="427" t="s">
        <v>420</v>
      </c>
      <c r="F191" s="2"/>
    </row>
    <row r="192" spans="1:6" x14ac:dyDescent="0.25">
      <c r="A192" s="371" t="s">
        <v>1144</v>
      </c>
      <c r="B192" s="425" t="s">
        <v>800</v>
      </c>
      <c r="C192">
        <v>19201800532</v>
      </c>
      <c r="D192">
        <v>2.4</v>
      </c>
      <c r="E192" s="427" t="s">
        <v>420</v>
      </c>
      <c r="F192" s="2"/>
    </row>
    <row r="193" spans="1:6" x14ac:dyDescent="0.25">
      <c r="A193" s="371" t="s">
        <v>1144</v>
      </c>
      <c r="B193" s="425" t="s">
        <v>800</v>
      </c>
      <c r="C193">
        <v>19201800446</v>
      </c>
      <c r="D193">
        <v>2.33</v>
      </c>
      <c r="E193" s="427" t="s">
        <v>420</v>
      </c>
      <c r="F193" s="2"/>
    </row>
    <row r="194" spans="1:6" x14ac:dyDescent="0.25">
      <c r="A194" s="371" t="s">
        <v>1144</v>
      </c>
      <c r="B194" s="425" t="s">
        <v>800</v>
      </c>
      <c r="C194">
        <v>19201800512</v>
      </c>
      <c r="D194">
        <v>2.33</v>
      </c>
      <c r="E194" s="427" t="s">
        <v>420</v>
      </c>
      <c r="F194" s="2"/>
    </row>
    <row r="195" spans="1:6" x14ac:dyDescent="0.25">
      <c r="A195" s="371" t="s">
        <v>1144</v>
      </c>
      <c r="B195" s="425" t="s">
        <v>800</v>
      </c>
      <c r="C195">
        <v>19201800437</v>
      </c>
      <c r="D195">
        <v>2.3199999999999998</v>
      </c>
      <c r="E195" s="427" t="s">
        <v>420</v>
      </c>
      <c r="F195" s="2"/>
    </row>
    <row r="196" spans="1:6" x14ac:dyDescent="0.25">
      <c r="A196" s="371" t="s">
        <v>1144</v>
      </c>
      <c r="B196" s="425" t="s">
        <v>800</v>
      </c>
      <c r="C196">
        <v>19201800430</v>
      </c>
      <c r="D196">
        <v>2.2999999999999998</v>
      </c>
      <c r="E196" s="427" t="s">
        <v>420</v>
      </c>
      <c r="F196" s="2"/>
    </row>
    <row r="197" spans="1:6" x14ac:dyDescent="0.25">
      <c r="A197" s="371" t="s">
        <v>1144</v>
      </c>
      <c r="B197" s="425" t="s">
        <v>800</v>
      </c>
      <c r="C197">
        <v>19201800483</v>
      </c>
      <c r="D197">
        <v>2.27</v>
      </c>
      <c r="E197" s="427" t="s">
        <v>420</v>
      </c>
      <c r="F197" s="2"/>
    </row>
    <row r="198" spans="1:6" x14ac:dyDescent="0.25">
      <c r="A198" s="371" t="s">
        <v>1144</v>
      </c>
      <c r="B198" s="425" t="s">
        <v>800</v>
      </c>
      <c r="C198">
        <v>19201800506</v>
      </c>
      <c r="D198">
        <v>2.27</v>
      </c>
      <c r="E198" s="427" t="s">
        <v>420</v>
      </c>
      <c r="F198" s="2"/>
    </row>
    <row r="199" spans="1:6" x14ac:dyDescent="0.25">
      <c r="A199" s="371" t="s">
        <v>1144</v>
      </c>
      <c r="B199" s="425" t="s">
        <v>800</v>
      </c>
      <c r="C199">
        <v>19201800496</v>
      </c>
      <c r="D199">
        <v>2.2200000000000002</v>
      </c>
      <c r="E199" s="427" t="s">
        <v>420</v>
      </c>
      <c r="F199" s="2"/>
    </row>
    <row r="200" spans="1:6" x14ac:dyDescent="0.25">
      <c r="A200" s="371" t="s">
        <v>1144</v>
      </c>
      <c r="B200" s="425" t="s">
        <v>800</v>
      </c>
      <c r="C200">
        <v>19201800520</v>
      </c>
      <c r="D200">
        <v>2.19</v>
      </c>
      <c r="E200" s="427" t="s">
        <v>420</v>
      </c>
      <c r="F200" s="2"/>
    </row>
    <row r="201" spans="1:6" x14ac:dyDescent="0.25">
      <c r="A201" s="371" t="s">
        <v>1144</v>
      </c>
      <c r="B201" s="425" t="s">
        <v>800</v>
      </c>
      <c r="C201">
        <v>19201800190</v>
      </c>
      <c r="D201">
        <v>2.15</v>
      </c>
      <c r="E201" s="427" t="s">
        <v>420</v>
      </c>
      <c r="F201" s="2"/>
    </row>
    <row r="202" spans="1:6" x14ac:dyDescent="0.25">
      <c r="A202" s="371" t="s">
        <v>1144</v>
      </c>
      <c r="B202" s="425" t="s">
        <v>800</v>
      </c>
      <c r="C202">
        <v>19201800465</v>
      </c>
      <c r="D202">
        <v>2.12</v>
      </c>
      <c r="E202" s="427" t="s">
        <v>420</v>
      </c>
      <c r="F202" s="2"/>
    </row>
    <row r="203" spans="1:6" x14ac:dyDescent="0.25">
      <c r="A203" s="371" t="s">
        <v>1144</v>
      </c>
      <c r="B203" s="425" t="s">
        <v>800</v>
      </c>
      <c r="C203">
        <v>19201800468</v>
      </c>
      <c r="D203">
        <v>2.0699999999999998</v>
      </c>
      <c r="E203" s="427" t="s">
        <v>420</v>
      </c>
      <c r="F203" s="2"/>
    </row>
    <row r="204" spans="1:6" x14ac:dyDescent="0.25">
      <c r="A204" s="371" t="s">
        <v>1144</v>
      </c>
      <c r="B204" s="425" t="s">
        <v>800</v>
      </c>
      <c r="C204">
        <v>19201800494</v>
      </c>
      <c r="D204">
        <v>2.06</v>
      </c>
      <c r="E204" s="427" t="s">
        <v>420</v>
      </c>
      <c r="F204" s="2"/>
    </row>
    <row r="205" spans="1:6" x14ac:dyDescent="0.25">
      <c r="A205" s="371" t="s">
        <v>1144</v>
      </c>
      <c r="B205" s="425" t="s">
        <v>800</v>
      </c>
      <c r="C205">
        <v>19201800527</v>
      </c>
      <c r="D205">
        <v>2.0099999999999998</v>
      </c>
      <c r="E205" s="427" t="s">
        <v>420</v>
      </c>
      <c r="F205" s="2"/>
    </row>
    <row r="206" spans="1:6" x14ac:dyDescent="0.25">
      <c r="A206" s="489" t="s">
        <v>1144</v>
      </c>
      <c r="B206" s="630" t="s">
        <v>800</v>
      </c>
      <c r="C206">
        <v>19201800528</v>
      </c>
      <c r="D206">
        <v>1.77</v>
      </c>
      <c r="E206" s="631" t="s">
        <v>420</v>
      </c>
      <c r="F206" s="2"/>
    </row>
    <row r="207" spans="1:6" x14ac:dyDescent="0.25">
      <c r="A207" s="2" t="s">
        <v>1145</v>
      </c>
      <c r="B207" s="425" t="s">
        <v>274</v>
      </c>
      <c r="C207" s="2">
        <v>19201800785</v>
      </c>
      <c r="D207" s="2">
        <v>2.98</v>
      </c>
      <c r="E207" s="426" t="s">
        <v>419</v>
      </c>
      <c r="F207" s="2"/>
    </row>
    <row r="208" spans="1:6" x14ac:dyDescent="0.25">
      <c r="A208" s="2" t="s">
        <v>1145</v>
      </c>
      <c r="B208" s="425" t="s">
        <v>274</v>
      </c>
      <c r="C208" s="2">
        <v>19201800780</v>
      </c>
      <c r="D208" s="2">
        <v>2.88</v>
      </c>
      <c r="E208" s="426" t="s">
        <v>419</v>
      </c>
      <c r="F208" s="2"/>
    </row>
    <row r="209" spans="1:6" x14ac:dyDescent="0.25">
      <c r="A209" s="2" t="s">
        <v>1145</v>
      </c>
      <c r="B209" s="425" t="s">
        <v>274</v>
      </c>
      <c r="C209" s="2">
        <v>19201800789</v>
      </c>
      <c r="D209" s="2">
        <v>2.87</v>
      </c>
      <c r="E209" s="426" t="s">
        <v>419</v>
      </c>
      <c r="F209" s="2"/>
    </row>
    <row r="210" spans="1:6" x14ac:dyDescent="0.25">
      <c r="A210" s="2" t="s">
        <v>1145</v>
      </c>
      <c r="B210" s="425" t="s">
        <v>274</v>
      </c>
      <c r="C210" s="2">
        <v>19201800757</v>
      </c>
      <c r="D210" s="2">
        <v>2.77</v>
      </c>
      <c r="E210" s="426" t="s">
        <v>419</v>
      </c>
      <c r="F210" s="2"/>
    </row>
    <row r="211" spans="1:6" x14ac:dyDescent="0.25">
      <c r="A211" s="2" t="s">
        <v>1145</v>
      </c>
      <c r="B211" s="425" t="s">
        <v>274</v>
      </c>
      <c r="C211" s="2">
        <v>19201800776</v>
      </c>
      <c r="D211" s="2">
        <v>2.52</v>
      </c>
      <c r="E211" s="426" t="s">
        <v>419</v>
      </c>
      <c r="F211" s="2"/>
    </row>
    <row r="212" spans="1:6" x14ac:dyDescent="0.25">
      <c r="A212" s="2" t="s">
        <v>1145</v>
      </c>
      <c r="B212" s="425" t="s">
        <v>274</v>
      </c>
      <c r="C212" s="2">
        <v>19201800758</v>
      </c>
      <c r="D212" s="2">
        <v>2.39</v>
      </c>
      <c r="E212" s="426" t="s">
        <v>419</v>
      </c>
      <c r="F212" s="2"/>
    </row>
    <row r="213" spans="1:6" x14ac:dyDescent="0.25">
      <c r="A213" s="2" t="s">
        <v>1145</v>
      </c>
      <c r="B213" s="425" t="s">
        <v>274</v>
      </c>
      <c r="C213" s="2">
        <v>19201800765</v>
      </c>
      <c r="D213" s="2">
        <v>2.1</v>
      </c>
      <c r="E213" s="426" t="s">
        <v>419</v>
      </c>
      <c r="F213" s="2"/>
    </row>
    <row r="214" spans="1:6" x14ac:dyDescent="0.25">
      <c r="A214" s="2" t="s">
        <v>1145</v>
      </c>
      <c r="B214" s="425" t="s">
        <v>438</v>
      </c>
      <c r="C214" s="2">
        <v>19201800775</v>
      </c>
      <c r="D214" s="2">
        <v>13.02</v>
      </c>
      <c r="E214" s="426" t="s">
        <v>419</v>
      </c>
      <c r="F214" s="2"/>
    </row>
    <row r="215" spans="1:6" x14ac:dyDescent="0.25">
      <c r="A215" s="2" t="s">
        <v>1145</v>
      </c>
      <c r="B215" s="425" t="s">
        <v>438</v>
      </c>
      <c r="C215" s="2">
        <v>19201800782</v>
      </c>
      <c r="D215" s="2">
        <v>12.57</v>
      </c>
      <c r="E215" s="426" t="s">
        <v>419</v>
      </c>
      <c r="F215" s="2"/>
    </row>
    <row r="216" spans="1:6" x14ac:dyDescent="0.25">
      <c r="A216" s="2" t="s">
        <v>1145</v>
      </c>
      <c r="B216" s="425" t="s">
        <v>438</v>
      </c>
      <c r="C216" s="2">
        <v>19201800777</v>
      </c>
      <c r="D216" s="2">
        <v>12.24</v>
      </c>
      <c r="E216" s="426" t="s">
        <v>419</v>
      </c>
      <c r="F216" s="2"/>
    </row>
    <row r="217" spans="1:6" x14ac:dyDescent="0.25">
      <c r="A217" s="2" t="s">
        <v>1145</v>
      </c>
      <c r="B217" s="425" t="s">
        <v>438</v>
      </c>
      <c r="C217" s="2">
        <v>19201800761</v>
      </c>
      <c r="D217" s="2">
        <v>11.69</v>
      </c>
      <c r="E217" s="426" t="s">
        <v>419</v>
      </c>
      <c r="F217" s="2"/>
    </row>
    <row r="218" spans="1:6" x14ac:dyDescent="0.25">
      <c r="A218" s="2" t="s">
        <v>1145</v>
      </c>
      <c r="B218" s="425" t="s">
        <v>438</v>
      </c>
      <c r="C218" s="2">
        <v>19201800753</v>
      </c>
      <c r="D218" s="2">
        <v>11.36</v>
      </c>
      <c r="E218" s="426" t="s">
        <v>419</v>
      </c>
      <c r="F218" s="2"/>
    </row>
    <row r="219" spans="1:6" x14ac:dyDescent="0.25">
      <c r="A219" s="2" t="s">
        <v>1145</v>
      </c>
      <c r="B219" s="425" t="s">
        <v>438</v>
      </c>
      <c r="C219" s="2">
        <v>19201800715</v>
      </c>
      <c r="D219" s="2">
        <v>11.24</v>
      </c>
      <c r="E219" s="426" t="s">
        <v>419</v>
      </c>
      <c r="F219" s="2"/>
    </row>
    <row r="220" spans="1:6" x14ac:dyDescent="0.25">
      <c r="A220" s="2" t="s">
        <v>1145</v>
      </c>
      <c r="B220" s="425" t="s">
        <v>438</v>
      </c>
      <c r="C220" s="2">
        <v>19201800773</v>
      </c>
      <c r="D220" s="2">
        <v>11.02</v>
      </c>
      <c r="E220" s="426" t="s">
        <v>419</v>
      </c>
      <c r="F220" s="2"/>
    </row>
    <row r="221" spans="1:6" x14ac:dyDescent="0.25">
      <c r="A221" s="2" t="s">
        <v>1145</v>
      </c>
      <c r="B221" s="425" t="s">
        <v>438</v>
      </c>
      <c r="C221" s="2">
        <v>19201800747</v>
      </c>
      <c r="D221" s="2">
        <v>10.91</v>
      </c>
      <c r="E221" s="427" t="s">
        <v>420</v>
      </c>
      <c r="F221" s="2"/>
    </row>
    <row r="222" spans="1:6" x14ac:dyDescent="0.25">
      <c r="A222" s="2" t="s">
        <v>1145</v>
      </c>
      <c r="B222" s="425" t="s">
        <v>438</v>
      </c>
      <c r="C222" s="2">
        <v>19201800752</v>
      </c>
      <c r="D222" s="2">
        <v>10.8</v>
      </c>
      <c r="E222" s="427" t="s">
        <v>420</v>
      </c>
      <c r="F222" s="2"/>
    </row>
    <row r="223" spans="1:6" x14ac:dyDescent="0.25">
      <c r="A223" s="2" t="s">
        <v>1145</v>
      </c>
      <c r="B223" s="425" t="s">
        <v>438</v>
      </c>
      <c r="C223" s="2">
        <v>19201800763</v>
      </c>
      <c r="D223" s="2">
        <v>10.58</v>
      </c>
      <c r="E223" s="427" t="s">
        <v>420</v>
      </c>
      <c r="F223" s="2"/>
    </row>
    <row r="224" spans="1:6" x14ac:dyDescent="0.25">
      <c r="A224" s="2" t="s">
        <v>1145</v>
      </c>
      <c r="B224" s="425" t="s">
        <v>438</v>
      </c>
      <c r="C224" s="2">
        <v>19201800778</v>
      </c>
      <c r="D224" s="2">
        <v>10.57</v>
      </c>
      <c r="E224" s="427" t="s">
        <v>420</v>
      </c>
      <c r="F224" s="2"/>
    </row>
    <row r="225" spans="1:6" x14ac:dyDescent="0.25">
      <c r="A225" s="2" t="s">
        <v>1145</v>
      </c>
      <c r="B225" s="425" t="s">
        <v>438</v>
      </c>
      <c r="C225" s="2">
        <v>19201800755</v>
      </c>
      <c r="D225" s="2">
        <v>10.46</v>
      </c>
      <c r="E225" s="427" t="s">
        <v>420</v>
      </c>
      <c r="F225" s="2"/>
    </row>
    <row r="226" spans="1:6" x14ac:dyDescent="0.25">
      <c r="A226" s="2" t="s">
        <v>1145</v>
      </c>
      <c r="B226" s="425" t="s">
        <v>438</v>
      </c>
      <c r="C226" s="2">
        <v>19201800770</v>
      </c>
      <c r="D226" s="2">
        <v>10.35</v>
      </c>
      <c r="E226" s="427" t="s">
        <v>420</v>
      </c>
      <c r="F226" s="2"/>
    </row>
    <row r="227" spans="1:6" x14ac:dyDescent="0.25">
      <c r="A227" s="2" t="s">
        <v>1145</v>
      </c>
      <c r="B227" s="425" t="s">
        <v>438</v>
      </c>
      <c r="C227" s="2">
        <v>19201800781</v>
      </c>
      <c r="D227" s="2">
        <v>10.130000000000001</v>
      </c>
      <c r="E227" s="426" t="s">
        <v>419</v>
      </c>
      <c r="F227" s="2"/>
    </row>
    <row r="228" spans="1:6" x14ac:dyDescent="0.25">
      <c r="A228" s="2" t="s">
        <v>1145</v>
      </c>
      <c r="B228" s="425" t="s">
        <v>438</v>
      </c>
      <c r="C228" s="2">
        <v>19201800746</v>
      </c>
      <c r="D228" s="2">
        <v>10.02</v>
      </c>
      <c r="E228" s="426" t="s">
        <v>419</v>
      </c>
      <c r="F228" s="2"/>
    </row>
    <row r="229" spans="1:6" x14ac:dyDescent="0.25">
      <c r="A229" s="2" t="s">
        <v>1145</v>
      </c>
      <c r="B229" s="425" t="s">
        <v>438</v>
      </c>
      <c r="C229" s="2">
        <v>19201800783</v>
      </c>
      <c r="D229" s="2">
        <v>9.91</v>
      </c>
      <c r="E229" s="426" t="s">
        <v>419</v>
      </c>
      <c r="F229" s="2"/>
    </row>
    <row r="230" spans="1:6" x14ac:dyDescent="0.25">
      <c r="A230" s="2" t="s">
        <v>1145</v>
      </c>
      <c r="B230" s="425" t="s">
        <v>438</v>
      </c>
      <c r="C230" s="2">
        <v>19201800791</v>
      </c>
      <c r="D230" s="2">
        <v>9.9</v>
      </c>
      <c r="E230" s="427" t="s">
        <v>420</v>
      </c>
      <c r="F230" s="2"/>
    </row>
    <row r="231" spans="1:6" x14ac:dyDescent="0.25">
      <c r="A231" s="2" t="s">
        <v>1145</v>
      </c>
      <c r="B231" s="425" t="s">
        <v>438</v>
      </c>
      <c r="C231" s="2">
        <v>19201800754</v>
      </c>
      <c r="D231" s="2">
        <v>9.69</v>
      </c>
      <c r="E231" s="427" t="s">
        <v>420</v>
      </c>
      <c r="F231" s="2"/>
    </row>
    <row r="232" spans="1:6" x14ac:dyDescent="0.25">
      <c r="A232" s="2" t="s">
        <v>1145</v>
      </c>
      <c r="B232" s="425" t="s">
        <v>438</v>
      </c>
      <c r="C232" s="2">
        <v>19201800788</v>
      </c>
      <c r="D232" s="2">
        <v>9.69</v>
      </c>
      <c r="E232" s="426" t="s">
        <v>419</v>
      </c>
      <c r="F232" s="2"/>
    </row>
    <row r="233" spans="1:6" x14ac:dyDescent="0.25">
      <c r="A233" s="2" t="s">
        <v>1145</v>
      </c>
      <c r="B233" s="425" t="s">
        <v>438</v>
      </c>
      <c r="C233" s="2">
        <v>19201800787</v>
      </c>
      <c r="D233" s="2">
        <v>9.14</v>
      </c>
      <c r="E233" s="427" t="s">
        <v>420</v>
      </c>
      <c r="F233" s="2"/>
    </row>
    <row r="234" spans="1:6" x14ac:dyDescent="0.25">
      <c r="A234" s="2" t="s">
        <v>1145</v>
      </c>
      <c r="B234" s="425" t="s">
        <v>438</v>
      </c>
      <c r="C234" s="2">
        <v>19201800767</v>
      </c>
      <c r="D234" s="2">
        <v>8.24</v>
      </c>
      <c r="E234" s="427" t="s">
        <v>420</v>
      </c>
      <c r="F234" s="2"/>
    </row>
    <row r="235" spans="1:6" x14ac:dyDescent="0.25">
      <c r="A235" s="2" t="s">
        <v>1145</v>
      </c>
      <c r="B235" s="425" t="s">
        <v>438</v>
      </c>
      <c r="C235" s="2">
        <v>19201800772</v>
      </c>
      <c r="D235" s="2">
        <v>8.1199999999999992</v>
      </c>
      <c r="E235" s="427" t="s">
        <v>420</v>
      </c>
      <c r="F235" s="2"/>
    </row>
    <row r="236" spans="1:6" x14ac:dyDescent="0.25">
      <c r="A236" s="2" t="s">
        <v>1145</v>
      </c>
      <c r="B236" s="425" t="s">
        <v>438</v>
      </c>
      <c r="C236" s="2">
        <v>19201800769</v>
      </c>
      <c r="D236" s="2">
        <v>8.02</v>
      </c>
      <c r="E236" s="427" t="s">
        <v>420</v>
      </c>
      <c r="F236" s="2"/>
    </row>
    <row r="237" spans="1:6" x14ac:dyDescent="0.25">
      <c r="A237" s="2" t="s">
        <v>1145</v>
      </c>
      <c r="B237" s="425" t="s">
        <v>438</v>
      </c>
      <c r="C237" s="2">
        <v>19201800756</v>
      </c>
      <c r="D237" s="2">
        <v>7.9</v>
      </c>
      <c r="E237" s="427" t="s">
        <v>420</v>
      </c>
      <c r="F237" s="2"/>
    </row>
    <row r="238" spans="1:6" x14ac:dyDescent="0.25">
      <c r="A238" s="2" t="s">
        <v>1145</v>
      </c>
      <c r="B238" s="425" t="s">
        <v>438</v>
      </c>
      <c r="C238" s="2">
        <v>19201800792</v>
      </c>
      <c r="D238" s="2">
        <v>7.9</v>
      </c>
      <c r="E238" s="427" t="s">
        <v>420</v>
      </c>
      <c r="F238" s="2"/>
    </row>
    <row r="239" spans="1:6" x14ac:dyDescent="0.25">
      <c r="A239" s="2" t="s">
        <v>1145</v>
      </c>
      <c r="B239" s="425" t="s">
        <v>438</v>
      </c>
      <c r="C239" s="2">
        <v>19201800760</v>
      </c>
      <c r="D239" s="2">
        <v>7.79</v>
      </c>
      <c r="E239" s="427" t="s">
        <v>420</v>
      </c>
      <c r="F239" s="2"/>
    </row>
    <row r="240" spans="1:6" x14ac:dyDescent="0.25">
      <c r="A240" s="2" t="s">
        <v>1145</v>
      </c>
      <c r="B240" s="425" t="s">
        <v>438</v>
      </c>
      <c r="C240" s="2">
        <v>19201800724</v>
      </c>
      <c r="D240" s="2">
        <v>7.45</v>
      </c>
      <c r="E240" s="427" t="s">
        <v>420</v>
      </c>
      <c r="F240" s="2"/>
    </row>
    <row r="241" spans="1:7" x14ac:dyDescent="0.25">
      <c r="A241" s="2" t="s">
        <v>1145</v>
      </c>
      <c r="B241" s="425" t="s">
        <v>438</v>
      </c>
      <c r="C241" s="2">
        <v>19201800639</v>
      </c>
      <c r="D241" s="2">
        <v>7.12</v>
      </c>
      <c r="E241" s="427" t="s">
        <v>420</v>
      </c>
      <c r="F241" s="2"/>
    </row>
    <row r="242" spans="1:7" x14ac:dyDescent="0.25">
      <c r="A242" s="2" t="s">
        <v>1145</v>
      </c>
      <c r="B242" s="425" t="s">
        <v>438</v>
      </c>
      <c r="C242" s="2">
        <v>19201800790</v>
      </c>
      <c r="D242" s="2">
        <v>6.79</v>
      </c>
      <c r="E242" s="427" t="s">
        <v>420</v>
      </c>
      <c r="F242" s="2"/>
    </row>
    <row r="243" spans="1:7" x14ac:dyDescent="0.25">
      <c r="A243" s="2" t="s">
        <v>1145</v>
      </c>
      <c r="B243" s="425" t="s">
        <v>438</v>
      </c>
      <c r="C243" s="2">
        <v>19201800766</v>
      </c>
      <c r="D243" s="2">
        <v>6.68</v>
      </c>
      <c r="E243" s="427" t="s">
        <v>420</v>
      </c>
      <c r="F243" s="2"/>
    </row>
    <row r="244" spans="1:7" x14ac:dyDescent="0.25">
      <c r="A244" s="2" t="s">
        <v>1145</v>
      </c>
      <c r="B244" s="425" t="s">
        <v>438</v>
      </c>
      <c r="C244" s="2">
        <v>19201800762</v>
      </c>
      <c r="D244" s="2">
        <v>6.57</v>
      </c>
      <c r="E244" s="427" t="s">
        <v>420</v>
      </c>
      <c r="F244" s="2"/>
    </row>
    <row r="245" spans="1:7" x14ac:dyDescent="0.25">
      <c r="A245" s="2" t="s">
        <v>1145</v>
      </c>
      <c r="B245" s="425" t="s">
        <v>438</v>
      </c>
      <c r="C245" s="2">
        <v>19201800784</v>
      </c>
      <c r="D245" s="2">
        <v>6.24</v>
      </c>
      <c r="E245" s="427" t="s">
        <v>420</v>
      </c>
      <c r="F245" s="2"/>
    </row>
    <row r="246" spans="1:7" x14ac:dyDescent="0.25">
      <c r="A246" s="2" t="s">
        <v>1199</v>
      </c>
      <c r="B246" s="425" t="s">
        <v>438</v>
      </c>
      <c r="C246" s="2">
        <v>19201900673</v>
      </c>
      <c r="D246" s="2">
        <v>12.9</v>
      </c>
      <c r="E246" s="426" t="s">
        <v>419</v>
      </c>
      <c r="F246" s="2"/>
      <c r="G246" s="647"/>
    </row>
    <row r="247" spans="1:7" x14ac:dyDescent="0.25">
      <c r="A247" s="2" t="s">
        <v>1199</v>
      </c>
      <c r="B247" s="425" t="s">
        <v>438</v>
      </c>
      <c r="C247" s="2">
        <v>19201900689</v>
      </c>
      <c r="D247" s="2">
        <v>12.69</v>
      </c>
      <c r="E247" s="426" t="s">
        <v>419</v>
      </c>
      <c r="F247" s="2"/>
      <c r="G247" s="647"/>
    </row>
    <row r="248" spans="1:7" x14ac:dyDescent="0.25">
      <c r="A248" s="2" t="s">
        <v>1199</v>
      </c>
      <c r="B248" s="425" t="s">
        <v>438</v>
      </c>
      <c r="C248" s="2">
        <v>19201900668</v>
      </c>
      <c r="D248" s="2">
        <v>12.58</v>
      </c>
      <c r="E248" s="426" t="s">
        <v>419</v>
      </c>
      <c r="F248" s="2"/>
      <c r="G248" s="647"/>
    </row>
    <row r="249" spans="1:7" x14ac:dyDescent="0.25">
      <c r="A249" s="2" t="s">
        <v>1199</v>
      </c>
      <c r="B249" s="425" t="s">
        <v>438</v>
      </c>
      <c r="C249" s="2">
        <v>19201900697</v>
      </c>
      <c r="D249" s="2">
        <v>12.36</v>
      </c>
      <c r="E249" s="426" t="s">
        <v>419</v>
      </c>
      <c r="F249" s="2"/>
      <c r="G249" s="647"/>
    </row>
    <row r="250" spans="1:7" x14ac:dyDescent="0.25">
      <c r="A250" s="2" t="s">
        <v>1199</v>
      </c>
      <c r="B250" s="425" t="s">
        <v>438</v>
      </c>
      <c r="C250" s="2">
        <v>19201900676</v>
      </c>
      <c r="D250" s="2">
        <v>11.91</v>
      </c>
      <c r="E250" s="426" t="s">
        <v>419</v>
      </c>
      <c r="F250" s="2"/>
      <c r="G250" s="647"/>
    </row>
    <row r="251" spans="1:7" x14ac:dyDescent="0.25">
      <c r="A251" s="2" t="s">
        <v>1199</v>
      </c>
      <c r="B251" s="425" t="s">
        <v>438</v>
      </c>
      <c r="C251" s="2">
        <v>19201900694</v>
      </c>
      <c r="D251" s="2">
        <v>11.79</v>
      </c>
      <c r="E251" s="426" t="s">
        <v>419</v>
      </c>
      <c r="F251" s="2"/>
      <c r="G251" s="647"/>
    </row>
    <row r="252" spans="1:7" x14ac:dyDescent="0.25">
      <c r="A252" s="2" t="s">
        <v>1199</v>
      </c>
      <c r="B252" s="425" t="s">
        <v>438</v>
      </c>
      <c r="C252" s="2">
        <v>19201900692</v>
      </c>
      <c r="D252" s="2">
        <v>11.57</v>
      </c>
      <c r="E252" s="427" t="s">
        <v>420</v>
      </c>
      <c r="F252" s="2"/>
      <c r="G252" s="647"/>
    </row>
    <row r="253" spans="1:7" x14ac:dyDescent="0.25">
      <c r="A253" s="2" t="s">
        <v>1199</v>
      </c>
      <c r="B253" s="425" t="s">
        <v>438</v>
      </c>
      <c r="C253" s="2">
        <v>19201900686</v>
      </c>
      <c r="D253" s="2">
        <v>11.56</v>
      </c>
      <c r="E253" s="426" t="s">
        <v>419</v>
      </c>
      <c r="F253" s="2"/>
      <c r="G253" s="647"/>
    </row>
    <row r="254" spans="1:7" x14ac:dyDescent="0.25">
      <c r="A254" s="2" t="s">
        <v>1199</v>
      </c>
      <c r="B254" s="425" t="s">
        <v>438</v>
      </c>
      <c r="C254" s="2">
        <v>19201900687</v>
      </c>
      <c r="D254" s="2">
        <v>11.56</v>
      </c>
      <c r="E254" s="426" t="s">
        <v>419</v>
      </c>
      <c r="F254" s="2"/>
      <c r="G254" s="647"/>
    </row>
    <row r="255" spans="1:7" x14ac:dyDescent="0.25">
      <c r="A255" s="2" t="s">
        <v>1199</v>
      </c>
      <c r="B255" s="425" t="s">
        <v>438</v>
      </c>
      <c r="C255" s="2">
        <v>19201900665</v>
      </c>
      <c r="D255" s="2">
        <v>11.01</v>
      </c>
      <c r="E255" s="426" t="s">
        <v>419</v>
      </c>
      <c r="F255" s="2"/>
      <c r="G255" s="647"/>
    </row>
    <row r="256" spans="1:7" x14ac:dyDescent="0.25">
      <c r="A256" s="2" t="s">
        <v>1199</v>
      </c>
      <c r="B256" s="425" t="s">
        <v>438</v>
      </c>
      <c r="C256" s="2">
        <v>19201900671</v>
      </c>
      <c r="D256" s="2">
        <v>10.9</v>
      </c>
      <c r="E256" s="427" t="s">
        <v>420</v>
      </c>
      <c r="F256" s="2"/>
      <c r="G256" s="647"/>
    </row>
    <row r="257" spans="1:7" x14ac:dyDescent="0.25">
      <c r="A257" s="2" t="s">
        <v>1199</v>
      </c>
      <c r="B257" s="425" t="s">
        <v>438</v>
      </c>
      <c r="C257" s="2">
        <v>19201900500</v>
      </c>
      <c r="D257" s="2">
        <v>10.79</v>
      </c>
      <c r="E257" s="427" t="s">
        <v>420</v>
      </c>
      <c r="F257" s="2"/>
      <c r="G257" s="647"/>
    </row>
    <row r="258" spans="1:7" x14ac:dyDescent="0.25">
      <c r="A258" s="2" t="s">
        <v>1199</v>
      </c>
      <c r="B258" s="425" t="s">
        <v>438</v>
      </c>
      <c r="C258" s="2">
        <v>19201900677</v>
      </c>
      <c r="D258" s="2">
        <v>10.57</v>
      </c>
      <c r="E258" s="427" t="s">
        <v>420</v>
      </c>
      <c r="F258" s="2"/>
      <c r="G258" s="647"/>
    </row>
    <row r="259" spans="1:7" x14ac:dyDescent="0.25">
      <c r="A259" s="2" t="s">
        <v>1199</v>
      </c>
      <c r="B259" s="425" t="s">
        <v>438</v>
      </c>
      <c r="C259" s="2">
        <v>19201900693</v>
      </c>
      <c r="D259" s="2">
        <v>10.35</v>
      </c>
      <c r="E259" s="427" t="s">
        <v>420</v>
      </c>
      <c r="F259" s="2"/>
      <c r="G259" s="647"/>
    </row>
    <row r="260" spans="1:7" x14ac:dyDescent="0.25">
      <c r="A260" s="2" t="s">
        <v>1199</v>
      </c>
      <c r="B260" s="425" t="s">
        <v>438</v>
      </c>
      <c r="C260" s="2">
        <v>19201900696</v>
      </c>
      <c r="D260" s="2">
        <v>10.24</v>
      </c>
      <c r="E260" s="427" t="s">
        <v>420</v>
      </c>
      <c r="F260" s="2"/>
      <c r="G260" s="647"/>
    </row>
    <row r="261" spans="1:7" x14ac:dyDescent="0.25">
      <c r="A261" s="2" t="s">
        <v>1199</v>
      </c>
      <c r="B261" s="425" t="s">
        <v>438</v>
      </c>
      <c r="C261" s="2">
        <v>19201900635</v>
      </c>
      <c r="D261" s="2">
        <v>10.23</v>
      </c>
      <c r="E261" s="427" t="s">
        <v>420</v>
      </c>
      <c r="F261" s="2"/>
      <c r="G261" s="647"/>
    </row>
    <row r="262" spans="1:7" x14ac:dyDescent="0.25">
      <c r="A262" s="2" t="s">
        <v>1199</v>
      </c>
      <c r="B262" s="425" t="s">
        <v>438</v>
      </c>
      <c r="C262" s="2">
        <v>19201900620</v>
      </c>
      <c r="D262" s="2">
        <v>10.02</v>
      </c>
      <c r="E262" s="427" t="s">
        <v>420</v>
      </c>
      <c r="F262" s="2"/>
      <c r="G262" s="647"/>
    </row>
    <row r="263" spans="1:7" x14ac:dyDescent="0.25">
      <c r="A263" s="2" t="s">
        <v>1199</v>
      </c>
      <c r="B263" s="425" t="s">
        <v>438</v>
      </c>
      <c r="C263" s="2">
        <v>19201900674</v>
      </c>
      <c r="D263" s="2">
        <v>10.02</v>
      </c>
      <c r="E263" s="427" t="s">
        <v>420</v>
      </c>
      <c r="F263" s="2"/>
      <c r="G263" s="647"/>
    </row>
    <row r="264" spans="1:7" x14ac:dyDescent="0.25">
      <c r="A264" s="2" t="s">
        <v>1199</v>
      </c>
      <c r="B264" s="425" t="s">
        <v>438</v>
      </c>
      <c r="C264" s="2">
        <v>19201900688</v>
      </c>
      <c r="D264" s="2">
        <v>9.91</v>
      </c>
      <c r="E264" s="427" t="s">
        <v>420</v>
      </c>
      <c r="F264" s="2"/>
      <c r="G264" s="647"/>
    </row>
    <row r="265" spans="1:7" x14ac:dyDescent="0.25">
      <c r="A265" s="2" t="s">
        <v>1199</v>
      </c>
      <c r="B265" s="425" t="s">
        <v>438</v>
      </c>
      <c r="C265" s="2">
        <v>19201900690</v>
      </c>
      <c r="D265" s="2">
        <v>9.69</v>
      </c>
      <c r="E265" s="427" t="s">
        <v>420</v>
      </c>
      <c r="F265" s="2"/>
      <c r="G265" s="647"/>
    </row>
    <row r="266" spans="1:7" x14ac:dyDescent="0.25">
      <c r="A266" s="2" t="s">
        <v>1199</v>
      </c>
      <c r="B266" s="425" t="s">
        <v>438</v>
      </c>
      <c r="C266" s="2">
        <v>19201900698</v>
      </c>
      <c r="D266" s="2">
        <v>9.4700000000000006</v>
      </c>
      <c r="E266" s="427" t="s">
        <v>420</v>
      </c>
      <c r="F266" s="2"/>
      <c r="G266" s="647"/>
    </row>
    <row r="267" spans="1:7" x14ac:dyDescent="0.25">
      <c r="A267" s="2" t="s">
        <v>1199</v>
      </c>
      <c r="B267" s="425" t="s">
        <v>438</v>
      </c>
      <c r="C267" s="2">
        <v>19201900675</v>
      </c>
      <c r="D267" s="2">
        <v>9.25</v>
      </c>
      <c r="E267" s="427" t="s">
        <v>420</v>
      </c>
      <c r="F267" s="2"/>
      <c r="G267" s="647"/>
    </row>
    <row r="268" spans="1:7" x14ac:dyDescent="0.25">
      <c r="A268" s="2" t="s">
        <v>1199</v>
      </c>
      <c r="B268" s="425" t="s">
        <v>438</v>
      </c>
      <c r="C268" s="2">
        <v>19201900667</v>
      </c>
      <c r="D268" s="2">
        <v>8.58</v>
      </c>
      <c r="E268" s="427" t="s">
        <v>420</v>
      </c>
      <c r="F268" s="2"/>
      <c r="G268" s="647"/>
    </row>
    <row r="269" spans="1:7" x14ac:dyDescent="0.25">
      <c r="A269" s="2" t="s">
        <v>1199</v>
      </c>
      <c r="B269" s="425" t="s">
        <v>438</v>
      </c>
      <c r="C269" s="2">
        <v>19201900672</v>
      </c>
      <c r="D269" s="2">
        <v>8.57</v>
      </c>
      <c r="E269" s="427" t="s">
        <v>420</v>
      </c>
      <c r="F269" s="2"/>
      <c r="G269" s="647"/>
    </row>
    <row r="270" spans="1:7" x14ac:dyDescent="0.25">
      <c r="A270" s="2" t="s">
        <v>1199</v>
      </c>
      <c r="B270" s="425" t="s">
        <v>438</v>
      </c>
      <c r="C270" s="2">
        <v>19201900685</v>
      </c>
      <c r="D270" s="2">
        <v>7.79</v>
      </c>
      <c r="E270" s="427" t="s">
        <v>420</v>
      </c>
      <c r="F270" s="2"/>
      <c r="G270" s="647"/>
    </row>
    <row r="271" spans="1:7" x14ac:dyDescent="0.25">
      <c r="A271" s="2" t="s">
        <v>1199</v>
      </c>
      <c r="B271" s="425" t="s">
        <v>438</v>
      </c>
      <c r="C271" s="2">
        <v>19201900695</v>
      </c>
      <c r="D271" s="2">
        <v>7.68</v>
      </c>
      <c r="E271" s="427" t="s">
        <v>420</v>
      </c>
      <c r="F271" s="2"/>
      <c r="G271" s="647"/>
    </row>
    <row r="272" spans="1:7" x14ac:dyDescent="0.25">
      <c r="A272" s="26" t="s">
        <v>1203</v>
      </c>
      <c r="B272" s="704" t="s">
        <v>1202</v>
      </c>
      <c r="C272" s="705">
        <v>19201900438</v>
      </c>
      <c r="D272" s="705">
        <v>2.99</v>
      </c>
      <c r="E272" s="426" t="s">
        <v>419</v>
      </c>
      <c r="F272" s="2"/>
      <c r="G272" s="647"/>
    </row>
    <row r="273" spans="1:12" x14ac:dyDescent="0.25">
      <c r="A273" s="26" t="s">
        <v>1203</v>
      </c>
      <c r="B273" s="704" t="s">
        <v>1202</v>
      </c>
      <c r="C273" s="705">
        <v>19201900422</v>
      </c>
      <c r="D273" s="705">
        <v>2.98</v>
      </c>
      <c r="E273" s="426" t="s">
        <v>419</v>
      </c>
      <c r="F273" s="2"/>
      <c r="G273" s="647"/>
    </row>
    <row r="274" spans="1:12" x14ac:dyDescent="0.25">
      <c r="A274" s="26" t="s">
        <v>1203</v>
      </c>
      <c r="B274" s="704" t="s">
        <v>1202</v>
      </c>
      <c r="C274" s="705">
        <v>19201900441</v>
      </c>
      <c r="D274" s="705">
        <v>2.85</v>
      </c>
      <c r="E274" s="426" t="s">
        <v>419</v>
      </c>
      <c r="F274" s="2"/>
      <c r="G274" s="647"/>
    </row>
    <row r="275" spans="1:12" x14ac:dyDescent="0.25">
      <c r="A275" s="26" t="s">
        <v>1203</v>
      </c>
      <c r="B275" s="704" t="s">
        <v>1202</v>
      </c>
      <c r="C275" s="705">
        <v>19201900449</v>
      </c>
      <c r="D275" s="705">
        <v>2.8</v>
      </c>
      <c r="E275" s="426" t="s">
        <v>419</v>
      </c>
      <c r="F275" s="2"/>
      <c r="G275" s="647"/>
    </row>
    <row r="276" spans="1:12" x14ac:dyDescent="0.25">
      <c r="A276" s="26" t="s">
        <v>1203</v>
      </c>
      <c r="B276" s="704" t="s">
        <v>1202</v>
      </c>
      <c r="C276" s="705">
        <v>19201900425</v>
      </c>
      <c r="D276" s="705">
        <v>2.77</v>
      </c>
      <c r="E276" s="426" t="s">
        <v>419</v>
      </c>
      <c r="F276" s="2"/>
      <c r="G276" s="647"/>
    </row>
    <row r="277" spans="1:12" x14ac:dyDescent="0.25">
      <c r="A277" s="26" t="s">
        <v>1203</v>
      </c>
      <c r="B277" s="704" t="s">
        <v>1202</v>
      </c>
      <c r="C277" s="705">
        <v>19201900415</v>
      </c>
      <c r="D277" s="705">
        <v>2.72</v>
      </c>
      <c r="E277" s="426" t="s">
        <v>419</v>
      </c>
      <c r="F277" s="2"/>
      <c r="G277" s="647"/>
    </row>
    <row r="278" spans="1:12" x14ac:dyDescent="0.25">
      <c r="A278" s="26" t="s">
        <v>1203</v>
      </c>
      <c r="B278" s="704" t="s">
        <v>1202</v>
      </c>
      <c r="C278" s="705">
        <v>19201900412</v>
      </c>
      <c r="D278" s="705">
        <v>2.61</v>
      </c>
      <c r="E278" s="426" t="s">
        <v>419</v>
      </c>
      <c r="F278" s="2"/>
      <c r="G278" s="647"/>
    </row>
    <row r="279" spans="1:12" x14ac:dyDescent="0.25">
      <c r="A279" s="26" t="s">
        <v>1203</v>
      </c>
      <c r="B279" s="704" t="s">
        <v>1202</v>
      </c>
      <c r="C279" s="705">
        <v>19201900456</v>
      </c>
      <c r="D279" s="705">
        <v>2.52</v>
      </c>
      <c r="E279" s="426" t="s">
        <v>419</v>
      </c>
      <c r="F279" s="2"/>
      <c r="G279" s="647"/>
    </row>
    <row r="280" spans="1:12" x14ac:dyDescent="0.25">
      <c r="A280" s="26" t="s">
        <v>1203</v>
      </c>
      <c r="B280" s="704" t="s">
        <v>1202</v>
      </c>
      <c r="C280" s="705">
        <v>19201900472</v>
      </c>
      <c r="D280" s="705">
        <v>2.5099999999999998</v>
      </c>
      <c r="E280" s="426" t="s">
        <v>419</v>
      </c>
      <c r="F280" s="2"/>
      <c r="G280" s="647"/>
    </row>
    <row r="281" spans="1:12" x14ac:dyDescent="0.25">
      <c r="A281" s="26" t="s">
        <v>1203</v>
      </c>
      <c r="B281" s="704" t="s">
        <v>1202</v>
      </c>
      <c r="C281" s="705">
        <v>19201900471</v>
      </c>
      <c r="D281" s="705">
        <v>2.48</v>
      </c>
      <c r="E281" s="426" t="s">
        <v>419</v>
      </c>
      <c r="F281" s="2"/>
      <c r="G281" s="647"/>
      <c r="L281" s="703"/>
    </row>
    <row r="282" spans="1:12" x14ac:dyDescent="0.25">
      <c r="A282" s="26" t="s">
        <v>1203</v>
      </c>
      <c r="B282" s="704" t="s">
        <v>1202</v>
      </c>
      <c r="C282" s="705">
        <v>19201900418</v>
      </c>
      <c r="D282" s="705">
        <v>2.4700000000000002</v>
      </c>
      <c r="E282" s="426" t="s">
        <v>419</v>
      </c>
      <c r="F282" s="2"/>
      <c r="G282" s="647"/>
    </row>
    <row r="283" spans="1:12" x14ac:dyDescent="0.25">
      <c r="A283" s="26" t="s">
        <v>1203</v>
      </c>
      <c r="B283" s="704" t="s">
        <v>1202</v>
      </c>
      <c r="C283" s="705">
        <v>19201900445</v>
      </c>
      <c r="D283" s="705">
        <v>2.4300000000000002</v>
      </c>
      <c r="E283" s="426" t="s">
        <v>419</v>
      </c>
      <c r="F283" s="2"/>
      <c r="G283" s="647"/>
    </row>
    <row r="284" spans="1:12" x14ac:dyDescent="0.25">
      <c r="A284" s="26" t="s">
        <v>1203</v>
      </c>
      <c r="B284" s="704" t="s">
        <v>1202</v>
      </c>
      <c r="C284" s="705">
        <v>19201900420</v>
      </c>
      <c r="D284" s="705">
        <v>2.42</v>
      </c>
      <c r="E284" s="427" t="s">
        <v>420</v>
      </c>
      <c r="F284" s="2"/>
      <c r="G284" s="647"/>
    </row>
    <row r="285" spans="1:12" x14ac:dyDescent="0.25">
      <c r="A285" s="26" t="s">
        <v>1203</v>
      </c>
      <c r="B285" s="704" t="s">
        <v>1202</v>
      </c>
      <c r="C285" s="705">
        <v>19201900447</v>
      </c>
      <c r="D285" s="705">
        <v>2.41</v>
      </c>
      <c r="E285" s="427" t="s">
        <v>420</v>
      </c>
      <c r="F285" s="2"/>
      <c r="G285" s="647"/>
    </row>
    <row r="286" spans="1:12" x14ac:dyDescent="0.25">
      <c r="A286" s="26" t="s">
        <v>1203</v>
      </c>
      <c r="B286" s="704" t="s">
        <v>1202</v>
      </c>
      <c r="C286" s="705">
        <v>19201900468</v>
      </c>
      <c r="D286" s="705">
        <v>2.38</v>
      </c>
      <c r="E286" s="427" t="s">
        <v>420</v>
      </c>
      <c r="F286" s="2"/>
      <c r="G286" s="647"/>
    </row>
    <row r="287" spans="1:12" x14ac:dyDescent="0.25">
      <c r="A287" s="26" t="s">
        <v>1203</v>
      </c>
      <c r="B287" s="704" t="s">
        <v>1202</v>
      </c>
      <c r="C287" s="705">
        <v>19201900419</v>
      </c>
      <c r="D287" s="705">
        <v>2.35</v>
      </c>
      <c r="E287" s="427" t="s">
        <v>420</v>
      </c>
      <c r="F287" s="2"/>
      <c r="G287" s="647"/>
    </row>
    <row r="288" spans="1:12" x14ac:dyDescent="0.25">
      <c r="A288" s="26" t="s">
        <v>1203</v>
      </c>
      <c r="B288" s="704" t="s">
        <v>1202</v>
      </c>
      <c r="C288" s="705">
        <v>19201900440</v>
      </c>
      <c r="D288" s="705">
        <v>2.31</v>
      </c>
      <c r="E288" s="427" t="s">
        <v>420</v>
      </c>
      <c r="F288" s="2"/>
      <c r="G288" s="647"/>
    </row>
    <row r="289" spans="1:7" x14ac:dyDescent="0.25">
      <c r="A289" s="26" t="s">
        <v>1203</v>
      </c>
      <c r="B289" s="704" t="s">
        <v>1202</v>
      </c>
      <c r="C289" s="705">
        <v>19201900433</v>
      </c>
      <c r="D289" s="705">
        <v>2.25</v>
      </c>
      <c r="E289" s="427" t="s">
        <v>420</v>
      </c>
      <c r="F289" s="2"/>
      <c r="G289" s="647"/>
    </row>
    <row r="290" spans="1:7" x14ac:dyDescent="0.25">
      <c r="A290" s="26" t="s">
        <v>1203</v>
      </c>
      <c r="B290" s="704" t="s">
        <v>1202</v>
      </c>
      <c r="C290" s="705">
        <v>19201900428</v>
      </c>
      <c r="D290" s="705">
        <v>2.2200000000000002</v>
      </c>
      <c r="E290" s="427" t="s">
        <v>420</v>
      </c>
      <c r="F290" s="2"/>
      <c r="G290" s="647"/>
    </row>
    <row r="291" spans="1:7" x14ac:dyDescent="0.25">
      <c r="A291" s="26" t="s">
        <v>1203</v>
      </c>
      <c r="B291" s="704" t="s">
        <v>1202</v>
      </c>
      <c r="C291" s="705">
        <v>19201900458</v>
      </c>
      <c r="D291" s="705">
        <v>2.1</v>
      </c>
      <c r="E291" s="427" t="s">
        <v>420</v>
      </c>
      <c r="F291" s="2"/>
      <c r="G291" s="647"/>
    </row>
    <row r="292" spans="1:7" x14ac:dyDescent="0.25">
      <c r="A292" s="26" t="s">
        <v>1203</v>
      </c>
      <c r="B292" s="704" t="s">
        <v>1202</v>
      </c>
      <c r="C292" s="705">
        <v>19201900301</v>
      </c>
      <c r="D292" s="705">
        <v>2.0699999999999998</v>
      </c>
      <c r="E292" s="427" t="s">
        <v>420</v>
      </c>
      <c r="F292" s="2"/>
      <c r="G292" s="647"/>
    </row>
    <row r="293" spans="1:7" x14ac:dyDescent="0.25">
      <c r="A293" s="26" t="s">
        <v>1203</v>
      </c>
      <c r="B293" s="704" t="s">
        <v>1202</v>
      </c>
      <c r="C293" s="705">
        <v>19201900461</v>
      </c>
      <c r="D293" s="705">
        <v>1.94</v>
      </c>
      <c r="E293" s="427" t="s">
        <v>420</v>
      </c>
      <c r="F293" s="2"/>
      <c r="G293" s="647"/>
    </row>
    <row r="294" spans="1:7" x14ac:dyDescent="0.25">
      <c r="A294" s="26" t="s">
        <v>1203</v>
      </c>
      <c r="B294" s="704" t="s">
        <v>1202</v>
      </c>
      <c r="C294" s="705">
        <v>19201900435</v>
      </c>
      <c r="D294" s="705">
        <v>1.78</v>
      </c>
      <c r="E294" s="427" t="s">
        <v>420</v>
      </c>
      <c r="F294" s="2"/>
      <c r="G294" s="647"/>
    </row>
    <row r="295" spans="1:7" x14ac:dyDescent="0.25">
      <c r="A295" s="2" t="s">
        <v>1199</v>
      </c>
      <c r="B295" s="704" t="s">
        <v>274</v>
      </c>
      <c r="C295" s="2">
        <v>19201900670</v>
      </c>
      <c r="D295" s="2">
        <v>2.85</v>
      </c>
      <c r="E295" s="426" t="s">
        <v>419</v>
      </c>
      <c r="F295" s="2"/>
      <c r="G295" s="647"/>
    </row>
    <row r="296" spans="1:7" x14ac:dyDescent="0.25">
      <c r="A296" s="2" t="s">
        <v>1199</v>
      </c>
      <c r="B296" s="704" t="s">
        <v>274</v>
      </c>
      <c r="C296" s="2">
        <v>19201900683</v>
      </c>
      <c r="D296" s="2">
        <v>2.79</v>
      </c>
      <c r="E296" s="426" t="s">
        <v>419</v>
      </c>
      <c r="F296" s="2"/>
      <c r="G296" s="647"/>
    </row>
    <row r="297" spans="1:7" x14ac:dyDescent="0.25">
      <c r="A297" s="2" t="s">
        <v>1199</v>
      </c>
      <c r="B297" s="704" t="s">
        <v>274</v>
      </c>
      <c r="C297" s="2">
        <v>19201900669</v>
      </c>
      <c r="D297" s="2">
        <v>2.67</v>
      </c>
      <c r="E297" s="426" t="s">
        <v>419</v>
      </c>
      <c r="F297" s="2"/>
      <c r="G297" s="647"/>
    </row>
    <row r="298" spans="1:7" x14ac:dyDescent="0.25">
      <c r="A298" s="2" t="s">
        <v>1199</v>
      </c>
      <c r="B298" s="704" t="s">
        <v>274</v>
      </c>
      <c r="C298" s="2">
        <v>19201900691</v>
      </c>
      <c r="D298" s="2">
        <v>2.66</v>
      </c>
      <c r="E298" s="426" t="s">
        <v>419</v>
      </c>
      <c r="F298" s="2"/>
      <c r="G298" s="647"/>
    </row>
    <row r="299" spans="1:7" x14ac:dyDescent="0.25">
      <c r="A299" s="2" t="s">
        <v>1199</v>
      </c>
      <c r="B299" s="704" t="s">
        <v>274</v>
      </c>
      <c r="C299" s="2">
        <v>19201900684</v>
      </c>
      <c r="D299" s="2">
        <v>2.65</v>
      </c>
      <c r="E299" s="426" t="s">
        <v>419</v>
      </c>
      <c r="F299" s="2"/>
      <c r="G299" s="647"/>
    </row>
    <row r="300" spans="1:7" x14ac:dyDescent="0.25">
      <c r="A300" s="2" t="s">
        <v>1199</v>
      </c>
      <c r="B300" s="704" t="s">
        <v>274</v>
      </c>
      <c r="C300" s="2">
        <v>19201900680</v>
      </c>
      <c r="D300" s="2">
        <v>2.46</v>
      </c>
      <c r="E300" s="427" t="s">
        <v>420</v>
      </c>
      <c r="F300" s="2"/>
      <c r="G300" s="647"/>
    </row>
    <row r="301" spans="1:7" x14ac:dyDescent="0.25">
      <c r="A301" s="26" t="s">
        <v>1262</v>
      </c>
      <c r="B301" s="704" t="s">
        <v>438</v>
      </c>
      <c r="C301" s="2">
        <v>19202000704</v>
      </c>
      <c r="D301" s="2">
        <v>13.36</v>
      </c>
      <c r="E301" s="426" t="s">
        <v>419</v>
      </c>
      <c r="F301" s="2"/>
      <c r="G301" s="647" t="s">
        <v>1074</v>
      </c>
    </row>
    <row r="302" spans="1:7" x14ac:dyDescent="0.25">
      <c r="A302" s="26" t="s">
        <v>1262</v>
      </c>
      <c r="B302" s="704" t="s">
        <v>438</v>
      </c>
      <c r="C302" s="2">
        <v>19202000710</v>
      </c>
      <c r="D302" s="2">
        <v>13.14</v>
      </c>
      <c r="E302" s="426" t="s">
        <v>419</v>
      </c>
      <c r="F302" s="2"/>
      <c r="G302" s="647" t="s">
        <v>1074</v>
      </c>
    </row>
    <row r="303" spans="1:7" x14ac:dyDescent="0.25">
      <c r="A303" s="26" t="s">
        <v>1262</v>
      </c>
      <c r="B303" s="704" t="s">
        <v>438</v>
      </c>
      <c r="C303" s="2">
        <v>19202000705</v>
      </c>
      <c r="D303" s="2">
        <v>13.02</v>
      </c>
      <c r="E303" s="426" t="s">
        <v>419</v>
      </c>
      <c r="F303" s="2"/>
      <c r="G303" s="647" t="s">
        <v>1074</v>
      </c>
    </row>
    <row r="304" spans="1:7" x14ac:dyDescent="0.25">
      <c r="A304" s="26" t="s">
        <v>1262</v>
      </c>
      <c r="B304" s="704" t="s">
        <v>438</v>
      </c>
      <c r="C304" s="2">
        <v>19202000715</v>
      </c>
      <c r="D304" s="2">
        <v>12.92</v>
      </c>
      <c r="E304" s="426" t="s">
        <v>419</v>
      </c>
      <c r="F304" s="2"/>
      <c r="G304" s="647" t="s">
        <v>1074</v>
      </c>
    </row>
    <row r="305" spans="1:7" x14ac:dyDescent="0.25">
      <c r="A305" s="26" t="s">
        <v>1262</v>
      </c>
      <c r="B305" s="704" t="s">
        <v>438</v>
      </c>
      <c r="C305" s="2">
        <v>19202000682</v>
      </c>
      <c r="D305" s="2">
        <v>12.58</v>
      </c>
      <c r="E305" s="426" t="s">
        <v>419</v>
      </c>
      <c r="F305" s="2"/>
      <c r="G305" s="647" t="s">
        <v>1074</v>
      </c>
    </row>
    <row r="306" spans="1:7" x14ac:dyDescent="0.25">
      <c r="A306" s="26" t="s">
        <v>1262</v>
      </c>
      <c r="B306" s="704" t="s">
        <v>438</v>
      </c>
      <c r="C306" s="2">
        <v>19202000647</v>
      </c>
      <c r="D306" s="2">
        <v>12.34</v>
      </c>
      <c r="E306" s="426" t="s">
        <v>419</v>
      </c>
      <c r="F306" s="2"/>
      <c r="G306" s="647" t="s">
        <v>1074</v>
      </c>
    </row>
    <row r="307" spans="1:7" x14ac:dyDescent="0.25">
      <c r="A307" s="26" t="s">
        <v>1262</v>
      </c>
      <c r="B307" s="704" t="s">
        <v>438</v>
      </c>
      <c r="C307" s="2">
        <v>19202000709</v>
      </c>
      <c r="D307" s="2">
        <v>11.69</v>
      </c>
      <c r="E307" s="426" t="s">
        <v>419</v>
      </c>
      <c r="F307" s="2"/>
      <c r="G307" s="647" t="s">
        <v>1074</v>
      </c>
    </row>
    <row r="308" spans="1:7" x14ac:dyDescent="0.25">
      <c r="A308" s="26" t="s">
        <v>1262</v>
      </c>
      <c r="B308" s="704" t="s">
        <v>438</v>
      </c>
      <c r="C308" s="2">
        <v>19202000714</v>
      </c>
      <c r="D308" s="2">
        <v>11.69</v>
      </c>
      <c r="E308" s="426" t="s">
        <v>419</v>
      </c>
      <c r="F308" s="2"/>
      <c r="G308" s="647" t="s">
        <v>1074</v>
      </c>
    </row>
    <row r="309" spans="1:7" x14ac:dyDescent="0.25">
      <c r="A309" s="26" t="s">
        <v>1262</v>
      </c>
      <c r="B309" s="704" t="s">
        <v>438</v>
      </c>
      <c r="C309" s="2">
        <v>19202000713</v>
      </c>
      <c r="D309" s="2">
        <v>11.68</v>
      </c>
      <c r="E309" s="426" t="s">
        <v>419</v>
      </c>
      <c r="F309" s="2"/>
      <c r="G309" s="647" t="s">
        <v>1074</v>
      </c>
    </row>
    <row r="310" spans="1:7" x14ac:dyDescent="0.25">
      <c r="A310" s="26" t="s">
        <v>1262</v>
      </c>
      <c r="B310" s="704" t="s">
        <v>438</v>
      </c>
      <c r="C310" s="2">
        <v>19202000719</v>
      </c>
      <c r="D310" s="2">
        <v>11.68</v>
      </c>
      <c r="E310" s="426" t="s">
        <v>419</v>
      </c>
      <c r="F310" s="2"/>
      <c r="G310" s="647" t="s">
        <v>1074</v>
      </c>
    </row>
    <row r="311" spans="1:7" x14ac:dyDescent="0.25">
      <c r="A311" s="26" t="s">
        <v>1262</v>
      </c>
      <c r="B311" s="704" t="s">
        <v>438</v>
      </c>
      <c r="C311" s="2">
        <v>19202000712</v>
      </c>
      <c r="D311" s="2">
        <v>11.34</v>
      </c>
      <c r="E311" s="426" t="s">
        <v>419</v>
      </c>
      <c r="F311" s="2"/>
      <c r="G311" s="647" t="s">
        <v>1074</v>
      </c>
    </row>
    <row r="312" spans="1:7" x14ac:dyDescent="0.25">
      <c r="A312" s="26" t="s">
        <v>1262</v>
      </c>
      <c r="B312" s="704" t="s">
        <v>438</v>
      </c>
      <c r="C312" s="2">
        <v>19202000711</v>
      </c>
      <c r="D312" s="2">
        <v>10.92</v>
      </c>
      <c r="E312" s="426" t="s">
        <v>419</v>
      </c>
      <c r="F312" s="2"/>
      <c r="G312" s="647" t="s">
        <v>1074</v>
      </c>
    </row>
    <row r="313" spans="1:7" x14ac:dyDescent="0.25">
      <c r="A313" s="26" t="s">
        <v>1262</v>
      </c>
      <c r="B313" s="704" t="s">
        <v>438</v>
      </c>
      <c r="C313" s="2">
        <v>19202000721</v>
      </c>
      <c r="D313" s="2">
        <v>10.79</v>
      </c>
      <c r="E313" s="426" t="s">
        <v>419</v>
      </c>
      <c r="F313" s="2"/>
      <c r="G313" s="647" t="s">
        <v>1074</v>
      </c>
    </row>
    <row r="314" spans="1:7" x14ac:dyDescent="0.25">
      <c r="A314" s="26" t="s">
        <v>1262</v>
      </c>
      <c r="B314" s="704" t="s">
        <v>438</v>
      </c>
      <c r="C314" s="2">
        <v>19202000708</v>
      </c>
      <c r="D314" s="2">
        <v>10.69</v>
      </c>
      <c r="E314" s="426" t="s">
        <v>419</v>
      </c>
      <c r="F314" s="2"/>
      <c r="G314" s="647" t="s">
        <v>1074</v>
      </c>
    </row>
    <row r="315" spans="1:7" x14ac:dyDescent="0.25">
      <c r="A315" s="26" t="s">
        <v>1262</v>
      </c>
      <c r="B315" s="704" t="s">
        <v>438</v>
      </c>
      <c r="C315" s="2">
        <v>19202000692</v>
      </c>
      <c r="D315" s="2">
        <v>10.46</v>
      </c>
      <c r="E315" s="427" t="s">
        <v>420</v>
      </c>
      <c r="F315" s="2"/>
      <c r="G315" s="647" t="s">
        <v>1075</v>
      </c>
    </row>
    <row r="316" spans="1:7" x14ac:dyDescent="0.25">
      <c r="A316" s="26" t="s">
        <v>1262</v>
      </c>
      <c r="B316" s="704" t="s">
        <v>438</v>
      </c>
      <c r="C316" s="2">
        <v>19202000655</v>
      </c>
      <c r="D316" s="2">
        <v>9.68</v>
      </c>
      <c r="E316" s="426" t="s">
        <v>419</v>
      </c>
      <c r="F316" s="2"/>
      <c r="G316" s="647" t="s">
        <v>1074</v>
      </c>
    </row>
    <row r="317" spans="1:7" x14ac:dyDescent="0.25">
      <c r="A317" s="26" t="s">
        <v>1262</v>
      </c>
      <c r="B317" s="704" t="s">
        <v>438</v>
      </c>
      <c r="C317" s="2">
        <v>19202000706</v>
      </c>
      <c r="D317" s="2">
        <v>9.24</v>
      </c>
      <c r="E317" s="427" t="s">
        <v>420</v>
      </c>
      <c r="F317" s="2"/>
      <c r="G317" s="647" t="s">
        <v>1075</v>
      </c>
    </row>
    <row r="318" spans="1:7" x14ac:dyDescent="0.25">
      <c r="A318" s="26" t="s">
        <v>1262</v>
      </c>
      <c r="B318" s="704" t="s">
        <v>438</v>
      </c>
      <c r="C318" s="2">
        <v>19202000698</v>
      </c>
      <c r="D318" s="2">
        <v>9.1300000000000008</v>
      </c>
      <c r="E318" s="427" t="s">
        <v>420</v>
      </c>
      <c r="F318" s="2"/>
      <c r="G318" s="647" t="s">
        <v>1075</v>
      </c>
    </row>
    <row r="319" spans="1:7" x14ac:dyDescent="0.25">
      <c r="A319" s="26" t="s">
        <v>1262</v>
      </c>
      <c r="B319" s="704" t="s">
        <v>438</v>
      </c>
      <c r="C319" s="2">
        <v>19202000707</v>
      </c>
      <c r="D319" s="2">
        <v>8.91</v>
      </c>
      <c r="E319" s="427" t="s">
        <v>420</v>
      </c>
      <c r="F319" s="2"/>
      <c r="G319" s="647" t="s">
        <v>1075</v>
      </c>
    </row>
    <row r="320" spans="1:7" x14ac:dyDescent="0.25">
      <c r="A320" s="26" t="s">
        <v>1262</v>
      </c>
      <c r="B320" s="704" t="s">
        <v>438</v>
      </c>
      <c r="C320" s="2">
        <v>19202000717</v>
      </c>
      <c r="D320" s="2">
        <v>8.69</v>
      </c>
      <c r="E320" s="427" t="s">
        <v>420</v>
      </c>
      <c r="F320" s="2"/>
      <c r="G320" s="647" t="s">
        <v>1075</v>
      </c>
    </row>
    <row r="321" spans="1:7" x14ac:dyDescent="0.25">
      <c r="A321" s="26" t="s">
        <v>1262</v>
      </c>
      <c r="B321" s="704" t="s">
        <v>438</v>
      </c>
      <c r="C321" s="2">
        <v>19202000716</v>
      </c>
      <c r="D321" s="2">
        <v>8.68</v>
      </c>
      <c r="E321" s="427" t="s">
        <v>420</v>
      </c>
      <c r="F321" s="2"/>
      <c r="G321" s="647" t="s">
        <v>1075</v>
      </c>
    </row>
    <row r="322" spans="1:7" x14ac:dyDescent="0.25">
      <c r="A322" s="26" t="s">
        <v>1262</v>
      </c>
      <c r="B322" s="704" t="s">
        <v>438</v>
      </c>
      <c r="C322" s="2">
        <v>19202000696</v>
      </c>
      <c r="D322" s="2">
        <v>8.4499999999999993</v>
      </c>
      <c r="E322" s="427" t="s">
        <v>420</v>
      </c>
      <c r="F322" s="2"/>
      <c r="G322" s="647" t="s">
        <v>1075</v>
      </c>
    </row>
    <row r="323" spans="1:7" x14ac:dyDescent="0.25">
      <c r="A323" s="26" t="s">
        <v>1262</v>
      </c>
      <c r="B323" s="704" t="s">
        <v>438</v>
      </c>
      <c r="C323" s="2">
        <v>19202000718</v>
      </c>
      <c r="D323" s="2">
        <v>8.01</v>
      </c>
      <c r="E323" s="427" t="s">
        <v>420</v>
      </c>
      <c r="F323" s="2"/>
      <c r="G323" s="647" t="s">
        <v>1075</v>
      </c>
    </row>
    <row r="324" spans="1:7" x14ac:dyDescent="0.25">
      <c r="A324" s="26" t="s">
        <v>1262</v>
      </c>
      <c r="B324" s="704" t="s">
        <v>438</v>
      </c>
      <c r="C324" s="2">
        <v>19202000703</v>
      </c>
      <c r="D324" s="2">
        <v>7.45</v>
      </c>
      <c r="E324" s="427" t="s">
        <v>420</v>
      </c>
      <c r="F324" s="2"/>
      <c r="G324" s="647" t="s">
        <v>1075</v>
      </c>
    </row>
    <row r="325" spans="1:7" x14ac:dyDescent="0.25">
      <c r="A325" s="26" t="s">
        <v>1262</v>
      </c>
      <c r="B325" s="704" t="s">
        <v>438</v>
      </c>
      <c r="C325" s="2">
        <v>19202000720</v>
      </c>
      <c r="D325" s="2">
        <v>5.8</v>
      </c>
      <c r="E325" s="427" t="s">
        <v>420</v>
      </c>
      <c r="F325" s="2"/>
      <c r="G325" s="647" t="s">
        <v>1075</v>
      </c>
    </row>
    <row r="326" spans="1:7" x14ac:dyDescent="0.25">
      <c r="A326" s="2" t="s">
        <v>1272</v>
      </c>
      <c r="B326" s="704" t="s">
        <v>274</v>
      </c>
      <c r="C326" s="2">
        <v>19202000958</v>
      </c>
      <c r="D326" s="2">
        <v>3.03</v>
      </c>
      <c r="E326" s="426" t="s">
        <v>419</v>
      </c>
    </row>
    <row r="327" spans="1:7" x14ac:dyDescent="0.25">
      <c r="A327" s="2" t="s">
        <v>1272</v>
      </c>
      <c r="B327" s="704" t="s">
        <v>274</v>
      </c>
      <c r="C327" s="2">
        <v>19202000959</v>
      </c>
      <c r="D327" s="2">
        <v>3.02</v>
      </c>
      <c r="E327" s="426" t="s">
        <v>419</v>
      </c>
    </row>
    <row r="328" spans="1:7" x14ac:dyDescent="0.25">
      <c r="A328" s="2" t="s">
        <v>1272</v>
      </c>
      <c r="B328" s="704" t="s">
        <v>274</v>
      </c>
      <c r="C328" s="2">
        <v>19202000955</v>
      </c>
      <c r="D328" s="2">
        <v>3</v>
      </c>
      <c r="E328" s="426" t="s">
        <v>419</v>
      </c>
    </row>
    <row r="329" spans="1:7" x14ac:dyDescent="0.25">
      <c r="A329" s="2" t="s">
        <v>1272</v>
      </c>
      <c r="B329" s="704" t="s">
        <v>274</v>
      </c>
      <c r="C329" s="2">
        <v>19202000953</v>
      </c>
      <c r="D329" s="2">
        <v>2.98</v>
      </c>
      <c r="E329" s="426" t="s">
        <v>419</v>
      </c>
    </row>
    <row r="330" spans="1:7" x14ac:dyDescent="0.25">
      <c r="A330" s="2" t="s">
        <v>1272</v>
      </c>
      <c r="B330" s="704" t="s">
        <v>274</v>
      </c>
      <c r="C330" s="2">
        <v>19202000957</v>
      </c>
      <c r="D330" s="2">
        <v>2.94</v>
      </c>
      <c r="E330" s="426" t="s">
        <v>419</v>
      </c>
    </row>
    <row r="331" spans="1:7" x14ac:dyDescent="0.25">
      <c r="A331" s="2" t="s">
        <v>1272</v>
      </c>
      <c r="B331" s="704" t="s">
        <v>274</v>
      </c>
      <c r="C331" s="2">
        <v>19202000954</v>
      </c>
      <c r="D331" s="2">
        <v>2.89</v>
      </c>
      <c r="E331" s="426" t="s">
        <v>419</v>
      </c>
    </row>
    <row r="332" spans="1:7" x14ac:dyDescent="0.25">
      <c r="A332" s="2" t="s">
        <v>1272</v>
      </c>
      <c r="B332" s="704" t="s">
        <v>274</v>
      </c>
      <c r="C332" s="2">
        <v>19202000956</v>
      </c>
      <c r="D332" s="2">
        <v>2.79</v>
      </c>
      <c r="E332" s="426" t="s">
        <v>419</v>
      </c>
    </row>
    <row r="333" spans="1:7" x14ac:dyDescent="0.25">
      <c r="A333" s="2" t="s">
        <v>1272</v>
      </c>
      <c r="B333" s="704" t="s">
        <v>274</v>
      </c>
      <c r="C333" s="2">
        <v>19202000952</v>
      </c>
      <c r="D333" s="2">
        <v>2.54</v>
      </c>
      <c r="E333" s="426" t="s">
        <v>419</v>
      </c>
    </row>
    <row r="334" spans="1:7" x14ac:dyDescent="0.25">
      <c r="A334" s="2" t="s">
        <v>1337</v>
      </c>
      <c r="B334" s="2" t="s">
        <v>1338</v>
      </c>
      <c r="C334" s="2">
        <v>19202100492</v>
      </c>
      <c r="D334" s="2">
        <v>3</v>
      </c>
      <c r="E334" s="426" t="s">
        <v>419</v>
      </c>
    </row>
    <row r="335" spans="1:7" x14ac:dyDescent="0.25">
      <c r="A335" s="2" t="s">
        <v>1337</v>
      </c>
      <c r="B335" s="2" t="s">
        <v>1338</v>
      </c>
      <c r="C335" s="2">
        <v>19202100493</v>
      </c>
      <c r="D335" s="2">
        <v>2.93</v>
      </c>
      <c r="E335" s="426" t="s">
        <v>419</v>
      </c>
    </row>
    <row r="336" spans="1:7" x14ac:dyDescent="0.25">
      <c r="A336" s="2" t="s">
        <v>1337</v>
      </c>
      <c r="B336" s="2" t="s">
        <v>1338</v>
      </c>
      <c r="C336" s="2">
        <v>19202100496</v>
      </c>
      <c r="D336" s="2">
        <v>2.93</v>
      </c>
      <c r="E336" s="426" t="s">
        <v>419</v>
      </c>
    </row>
    <row r="337" spans="1:7" x14ac:dyDescent="0.25">
      <c r="A337" s="2" t="s">
        <v>1337</v>
      </c>
      <c r="B337" s="2" t="s">
        <v>1338</v>
      </c>
      <c r="C337" s="2">
        <v>19202100499</v>
      </c>
      <c r="D337" s="2">
        <v>2.9</v>
      </c>
      <c r="E337" s="426" t="s">
        <v>419</v>
      </c>
    </row>
    <row r="338" spans="1:7" x14ac:dyDescent="0.25">
      <c r="A338" s="2" t="s">
        <v>1337</v>
      </c>
      <c r="B338" s="2" t="s">
        <v>1338</v>
      </c>
      <c r="C338" s="2">
        <v>19202100497</v>
      </c>
      <c r="D338" s="2">
        <v>2.86</v>
      </c>
      <c r="E338" s="426" t="s">
        <v>419</v>
      </c>
    </row>
    <row r="339" spans="1:7" x14ac:dyDescent="0.25">
      <c r="A339" s="2" t="s">
        <v>1337</v>
      </c>
      <c r="B339" s="2" t="s">
        <v>1338</v>
      </c>
      <c r="C339" s="2">
        <v>19202100500</v>
      </c>
      <c r="D339" s="2">
        <v>2.86</v>
      </c>
      <c r="E339" s="426" t="s">
        <v>419</v>
      </c>
    </row>
    <row r="340" spans="1:7" x14ac:dyDescent="0.25">
      <c r="A340" s="2" t="s">
        <v>1337</v>
      </c>
      <c r="B340" s="2" t="s">
        <v>1338</v>
      </c>
      <c r="C340" s="2">
        <v>19202100495</v>
      </c>
      <c r="D340" s="2">
        <v>2.83</v>
      </c>
      <c r="E340" s="426" t="s">
        <v>419</v>
      </c>
    </row>
    <row r="341" spans="1:7" x14ac:dyDescent="0.25">
      <c r="A341" s="2" t="s">
        <v>1337</v>
      </c>
      <c r="B341" s="2" t="s">
        <v>1338</v>
      </c>
      <c r="C341" s="2">
        <v>19202100494</v>
      </c>
      <c r="D341" s="2">
        <v>2.79</v>
      </c>
      <c r="E341" s="426" t="s">
        <v>419</v>
      </c>
    </row>
    <row r="342" spans="1:7" x14ac:dyDescent="0.25">
      <c r="A342" s="2" t="s">
        <v>1337</v>
      </c>
      <c r="B342" s="2" t="s">
        <v>1338</v>
      </c>
      <c r="C342" s="2">
        <v>19202100498</v>
      </c>
      <c r="D342" s="2">
        <v>2.6</v>
      </c>
      <c r="E342" s="426" t="s">
        <v>419</v>
      </c>
    </row>
    <row r="343" spans="1:7" x14ac:dyDescent="0.25">
      <c r="A343" s="2" t="s">
        <v>1337</v>
      </c>
      <c r="B343" s="2" t="s">
        <v>1338</v>
      </c>
      <c r="C343" s="2">
        <v>19202100487</v>
      </c>
      <c r="D343" s="2">
        <v>2.4500000000000002</v>
      </c>
      <c r="E343" s="426" t="s">
        <v>419</v>
      </c>
    </row>
    <row r="344" spans="1:7" x14ac:dyDescent="0.25">
      <c r="A344" s="2" t="s">
        <v>1337</v>
      </c>
      <c r="B344" s="2" t="s">
        <v>1338</v>
      </c>
      <c r="C344" s="2">
        <v>19202100491</v>
      </c>
      <c r="D344" s="2">
        <v>2.35</v>
      </c>
      <c r="E344" s="426" t="s">
        <v>419</v>
      </c>
    </row>
    <row r="345" spans="1:7" x14ac:dyDescent="0.25">
      <c r="A345" s="2" t="s">
        <v>1349</v>
      </c>
      <c r="B345" s="2" t="s">
        <v>1351</v>
      </c>
      <c r="C345" s="2">
        <v>19202100586</v>
      </c>
      <c r="D345" s="2">
        <v>3.7</v>
      </c>
      <c r="E345" s="426" t="s">
        <v>419</v>
      </c>
      <c r="F345" s="647"/>
      <c r="G345" s="647"/>
    </row>
    <row r="346" spans="1:7" x14ac:dyDescent="0.25">
      <c r="A346" s="2" t="s">
        <v>1349</v>
      </c>
      <c r="B346" s="2" t="s">
        <v>1351</v>
      </c>
      <c r="C346" s="2">
        <v>19202100643</v>
      </c>
      <c r="D346" s="2">
        <v>3.68</v>
      </c>
      <c r="E346" s="426" t="s">
        <v>419</v>
      </c>
      <c r="F346" s="647"/>
      <c r="G346" s="647"/>
    </row>
    <row r="347" spans="1:7" x14ac:dyDescent="0.25">
      <c r="A347" s="2" t="s">
        <v>1349</v>
      </c>
      <c r="B347" s="2" t="s">
        <v>1351</v>
      </c>
      <c r="C347" s="2">
        <v>19202100636</v>
      </c>
      <c r="D347" s="2">
        <v>3.54</v>
      </c>
      <c r="E347" s="426" t="s">
        <v>419</v>
      </c>
      <c r="F347" s="647"/>
      <c r="G347" s="647"/>
    </row>
    <row r="348" spans="1:7" x14ac:dyDescent="0.25">
      <c r="A348" s="2" t="s">
        <v>1349</v>
      </c>
      <c r="B348" s="2" t="s">
        <v>1351</v>
      </c>
      <c r="C348" s="2">
        <v>19202100623</v>
      </c>
      <c r="D348" s="2">
        <v>3.52</v>
      </c>
      <c r="E348" s="426" t="s">
        <v>419</v>
      </c>
      <c r="F348" s="647"/>
      <c r="G348" s="647"/>
    </row>
    <row r="349" spans="1:7" x14ac:dyDescent="0.25">
      <c r="A349" s="2" t="s">
        <v>1349</v>
      </c>
      <c r="B349" s="2" t="s">
        <v>1351</v>
      </c>
      <c r="C349" s="2">
        <v>19202100632</v>
      </c>
      <c r="D349" s="2">
        <v>3.51</v>
      </c>
      <c r="E349" s="426" t="s">
        <v>419</v>
      </c>
      <c r="F349" s="647"/>
      <c r="G349" s="647"/>
    </row>
    <row r="350" spans="1:7" x14ac:dyDescent="0.25">
      <c r="A350" s="2" t="s">
        <v>1349</v>
      </c>
      <c r="B350" s="2" t="s">
        <v>1351</v>
      </c>
      <c r="C350" s="2">
        <v>19202100611</v>
      </c>
      <c r="D350" s="2">
        <v>3.49</v>
      </c>
      <c r="E350" s="426" t="s">
        <v>419</v>
      </c>
      <c r="F350" s="647"/>
      <c r="G350" s="647"/>
    </row>
    <row r="351" spans="1:7" x14ac:dyDescent="0.25">
      <c r="A351" s="2" t="s">
        <v>1349</v>
      </c>
      <c r="B351" s="2" t="s">
        <v>1351</v>
      </c>
      <c r="C351" s="2">
        <v>19202100616</v>
      </c>
      <c r="D351" s="2">
        <v>3.49</v>
      </c>
      <c r="E351" s="426" t="s">
        <v>419</v>
      </c>
      <c r="F351" s="647"/>
      <c r="G351" s="647"/>
    </row>
    <row r="352" spans="1:7" x14ac:dyDescent="0.25">
      <c r="A352" s="2" t="s">
        <v>1349</v>
      </c>
      <c r="B352" s="2" t="s">
        <v>1351</v>
      </c>
      <c r="C352" s="2">
        <v>19202100606</v>
      </c>
      <c r="D352" s="2">
        <v>3.4</v>
      </c>
      <c r="E352" s="426" t="s">
        <v>419</v>
      </c>
      <c r="F352" s="647"/>
      <c r="G352" s="647"/>
    </row>
    <row r="353" spans="1:7" x14ac:dyDescent="0.25">
      <c r="A353" s="2" t="s">
        <v>1349</v>
      </c>
      <c r="B353" s="2" t="s">
        <v>1351</v>
      </c>
      <c r="C353" s="2">
        <v>19202100621</v>
      </c>
      <c r="D353" s="2">
        <v>3.35</v>
      </c>
      <c r="E353" s="426" t="s">
        <v>419</v>
      </c>
      <c r="F353" s="647"/>
      <c r="G353" s="647"/>
    </row>
    <row r="354" spans="1:7" x14ac:dyDescent="0.25">
      <c r="A354" s="2" t="s">
        <v>1349</v>
      </c>
      <c r="B354" s="2" t="s">
        <v>1351</v>
      </c>
      <c r="C354" s="2">
        <v>19202100627</v>
      </c>
      <c r="D354" s="2">
        <v>3.22</v>
      </c>
      <c r="E354" s="426" t="s">
        <v>419</v>
      </c>
      <c r="F354" s="647"/>
      <c r="G354" s="647"/>
    </row>
    <row r="355" spans="1:7" x14ac:dyDescent="0.25">
      <c r="A355" s="2" t="s">
        <v>1349</v>
      </c>
      <c r="B355" s="2" t="s">
        <v>1351</v>
      </c>
      <c r="C355" s="2">
        <v>19202100633</v>
      </c>
      <c r="D355" s="2">
        <v>3.07</v>
      </c>
      <c r="E355" s="426" t="s">
        <v>419</v>
      </c>
      <c r="F355" s="647"/>
      <c r="G355" s="647"/>
    </row>
    <row r="356" spans="1:7" x14ac:dyDescent="0.25">
      <c r="A356" s="2" t="s">
        <v>1349</v>
      </c>
      <c r="B356" s="2" t="s">
        <v>1351</v>
      </c>
      <c r="C356" s="2">
        <v>19202100630</v>
      </c>
      <c r="D356" s="2">
        <v>3.06</v>
      </c>
      <c r="E356" s="427" t="s">
        <v>420</v>
      </c>
      <c r="F356" s="647"/>
      <c r="G356" s="647"/>
    </row>
    <row r="357" spans="1:7" x14ac:dyDescent="0.25">
      <c r="A357" s="2" t="s">
        <v>1349</v>
      </c>
      <c r="B357" s="2" t="s">
        <v>1351</v>
      </c>
      <c r="C357" s="2">
        <v>19202100640</v>
      </c>
      <c r="D357" s="2">
        <v>2.7</v>
      </c>
      <c r="E357" s="427" t="s">
        <v>420</v>
      </c>
      <c r="F357" s="647"/>
      <c r="G357" s="647"/>
    </row>
    <row r="358" spans="1:7" x14ac:dyDescent="0.25">
      <c r="A358" s="2" t="s">
        <v>1349</v>
      </c>
      <c r="B358" s="2" t="s">
        <v>1351</v>
      </c>
      <c r="C358" s="2">
        <v>19202100647</v>
      </c>
      <c r="D358" s="2">
        <v>2.58</v>
      </c>
      <c r="E358" s="427" t="s">
        <v>420</v>
      </c>
      <c r="F358" s="647"/>
      <c r="G358" s="647"/>
    </row>
    <row r="359" spans="1:7" x14ac:dyDescent="0.25">
      <c r="A359" s="2" t="s">
        <v>1411</v>
      </c>
      <c r="B359" s="2" t="s">
        <v>1412</v>
      </c>
      <c r="C359" s="2">
        <v>19202101245</v>
      </c>
      <c r="D359" s="2">
        <v>3.11</v>
      </c>
      <c r="E359" s="426" t="s">
        <v>419</v>
      </c>
    </row>
    <row r="360" spans="1:7" x14ac:dyDescent="0.25">
      <c r="A360" s="2" t="s">
        <v>1411</v>
      </c>
      <c r="B360" s="2" t="s">
        <v>1412</v>
      </c>
      <c r="C360" s="2">
        <v>19202101151</v>
      </c>
      <c r="D360" s="2">
        <v>3.07</v>
      </c>
      <c r="E360" s="426" t="s">
        <v>419</v>
      </c>
    </row>
    <row r="361" spans="1:7" x14ac:dyDescent="0.25">
      <c r="A361" s="2" t="s">
        <v>1411</v>
      </c>
      <c r="B361" s="2" t="s">
        <v>1412</v>
      </c>
      <c r="C361" s="2">
        <v>19202101232</v>
      </c>
      <c r="D361" s="2">
        <v>3.07</v>
      </c>
      <c r="E361" s="426" t="s">
        <v>419</v>
      </c>
    </row>
    <row r="362" spans="1:7" x14ac:dyDescent="0.25">
      <c r="A362" s="2" t="s">
        <v>1411</v>
      </c>
      <c r="B362" s="2" t="s">
        <v>1412</v>
      </c>
      <c r="C362" s="2">
        <v>19202101240</v>
      </c>
      <c r="D362" s="2">
        <v>3.07</v>
      </c>
      <c r="E362" s="426" t="s">
        <v>419</v>
      </c>
    </row>
    <row r="363" spans="1:7" x14ac:dyDescent="0.25">
      <c r="A363" s="2" t="s">
        <v>1411</v>
      </c>
      <c r="B363" s="2" t="s">
        <v>1412</v>
      </c>
      <c r="C363" s="2">
        <v>19202101234</v>
      </c>
      <c r="D363" s="2">
        <v>3.04</v>
      </c>
      <c r="E363" s="426" t="s">
        <v>419</v>
      </c>
    </row>
    <row r="364" spans="1:7" x14ac:dyDescent="0.25">
      <c r="A364" s="2" t="s">
        <v>1411</v>
      </c>
      <c r="B364" s="2" t="s">
        <v>1412</v>
      </c>
      <c r="C364" s="2">
        <v>19202101246</v>
      </c>
      <c r="D364" s="2">
        <v>3.03</v>
      </c>
      <c r="E364" s="426" t="s">
        <v>419</v>
      </c>
    </row>
    <row r="365" spans="1:7" x14ac:dyDescent="0.25">
      <c r="A365" s="2" t="s">
        <v>1411</v>
      </c>
      <c r="B365" s="2" t="s">
        <v>1412</v>
      </c>
      <c r="C365" s="2">
        <v>19202101237</v>
      </c>
      <c r="D365" s="2">
        <v>2.98</v>
      </c>
      <c r="E365" s="426" t="s">
        <v>419</v>
      </c>
    </row>
    <row r="366" spans="1:7" x14ac:dyDescent="0.25">
      <c r="A366" s="2" t="s">
        <v>1411</v>
      </c>
      <c r="B366" s="2" t="s">
        <v>1412</v>
      </c>
      <c r="C366" s="2">
        <v>19202101249</v>
      </c>
      <c r="D366" s="2">
        <v>2.95</v>
      </c>
      <c r="E366" s="426" t="s">
        <v>419</v>
      </c>
    </row>
    <row r="367" spans="1:7" x14ac:dyDescent="0.25">
      <c r="A367" s="2" t="s">
        <v>1411</v>
      </c>
      <c r="B367" s="2" t="s">
        <v>1412</v>
      </c>
      <c r="C367" s="2">
        <v>19202101227</v>
      </c>
      <c r="D367" s="2">
        <v>2.94</v>
      </c>
      <c r="E367" s="426" t="s">
        <v>419</v>
      </c>
    </row>
    <row r="368" spans="1:7" x14ac:dyDescent="0.25">
      <c r="A368" s="2" t="s">
        <v>1411</v>
      </c>
      <c r="B368" s="2" t="s">
        <v>1412</v>
      </c>
      <c r="C368" s="2">
        <v>19202101201</v>
      </c>
      <c r="D368" s="2">
        <v>2.92</v>
      </c>
      <c r="E368" s="426" t="s">
        <v>419</v>
      </c>
    </row>
    <row r="369" spans="1:5" x14ac:dyDescent="0.25">
      <c r="A369" s="2" t="s">
        <v>1411</v>
      </c>
      <c r="B369" s="2" t="s">
        <v>1412</v>
      </c>
      <c r="C369" s="2">
        <v>19202101235</v>
      </c>
      <c r="D369" s="2">
        <v>2.88</v>
      </c>
      <c r="E369" s="426" t="s">
        <v>419</v>
      </c>
    </row>
    <row r="370" spans="1:5" x14ac:dyDescent="0.25">
      <c r="A370" s="2" t="s">
        <v>1411</v>
      </c>
      <c r="B370" s="2" t="s">
        <v>1412</v>
      </c>
      <c r="C370" s="2">
        <v>19202101230</v>
      </c>
      <c r="D370" s="2">
        <v>2.87</v>
      </c>
      <c r="E370" s="426" t="s">
        <v>419</v>
      </c>
    </row>
    <row r="371" spans="1:5" x14ac:dyDescent="0.25">
      <c r="A371" s="2" t="s">
        <v>1411</v>
      </c>
      <c r="B371" s="2" t="s">
        <v>1412</v>
      </c>
      <c r="C371" s="2">
        <v>19202101233</v>
      </c>
      <c r="D371" s="2">
        <v>2.85</v>
      </c>
      <c r="E371" s="426" t="s">
        <v>419</v>
      </c>
    </row>
    <row r="372" spans="1:5" x14ac:dyDescent="0.25">
      <c r="A372" s="2" t="s">
        <v>1411</v>
      </c>
      <c r="B372" s="2" t="s">
        <v>1412</v>
      </c>
      <c r="C372" s="2">
        <v>19202101241</v>
      </c>
      <c r="D372" s="2">
        <v>2.63</v>
      </c>
      <c r="E372" s="426" t="s">
        <v>419</v>
      </c>
    </row>
    <row r="373" spans="1:5" x14ac:dyDescent="0.25">
      <c r="A373" s="2" t="s">
        <v>1411</v>
      </c>
      <c r="B373" s="2" t="s">
        <v>1412</v>
      </c>
      <c r="C373" s="2">
        <v>19202101236</v>
      </c>
      <c r="D373" s="2">
        <v>2.62</v>
      </c>
      <c r="E373" s="427" t="s">
        <v>420</v>
      </c>
    </row>
    <row r="374" spans="1:5" x14ac:dyDescent="0.25">
      <c r="A374" s="2" t="s">
        <v>1411</v>
      </c>
      <c r="B374" s="2" t="s">
        <v>1412</v>
      </c>
      <c r="C374" s="2">
        <v>19202101223</v>
      </c>
      <c r="D374" s="2">
        <v>2.59</v>
      </c>
      <c r="E374" s="427" t="s">
        <v>420</v>
      </c>
    </row>
    <row r="375" spans="1:5" x14ac:dyDescent="0.25">
      <c r="A375" s="2" t="s">
        <v>1411</v>
      </c>
      <c r="B375" s="2" t="s">
        <v>1412</v>
      </c>
      <c r="C375" s="2">
        <v>19202101244</v>
      </c>
      <c r="D375" s="2">
        <v>2.59</v>
      </c>
      <c r="E375" s="427" t="s">
        <v>420</v>
      </c>
    </row>
    <row r="376" spans="1:5" x14ac:dyDescent="0.25">
      <c r="A376" s="2" t="s">
        <v>1411</v>
      </c>
      <c r="B376" s="2" t="s">
        <v>1412</v>
      </c>
      <c r="C376" s="2">
        <v>19202101199</v>
      </c>
      <c r="D376" s="2">
        <v>2.5299999999999998</v>
      </c>
      <c r="E376" s="427" t="s">
        <v>420</v>
      </c>
    </row>
    <row r="377" spans="1:5" x14ac:dyDescent="0.25">
      <c r="A377" s="2" t="s">
        <v>1411</v>
      </c>
      <c r="B377" s="2" t="s">
        <v>1412</v>
      </c>
      <c r="C377" s="2">
        <v>19202101238</v>
      </c>
      <c r="D377" s="2">
        <v>2.4900000000000002</v>
      </c>
      <c r="E377" s="427" t="s">
        <v>420</v>
      </c>
    </row>
    <row r="378" spans="1:5" x14ac:dyDescent="0.25">
      <c r="A378" s="2" t="s">
        <v>1411</v>
      </c>
      <c r="B378" s="2" t="s">
        <v>1412</v>
      </c>
      <c r="C378" s="2">
        <v>19202101242</v>
      </c>
      <c r="D378" s="2">
        <v>2.35</v>
      </c>
      <c r="E378" s="427" t="s">
        <v>420</v>
      </c>
    </row>
    <row r="379" spans="1:5" x14ac:dyDescent="0.25">
      <c r="A379" s="2" t="s">
        <v>1411</v>
      </c>
      <c r="B379" s="2" t="s">
        <v>1412</v>
      </c>
      <c r="C379" s="2">
        <v>19202101204</v>
      </c>
      <c r="D379" s="2">
        <v>2.34</v>
      </c>
      <c r="E379" s="427" t="s">
        <v>420</v>
      </c>
    </row>
    <row r="380" spans="1:5" x14ac:dyDescent="0.25">
      <c r="A380" s="2" t="s">
        <v>1411</v>
      </c>
      <c r="B380" s="2" t="s">
        <v>1412</v>
      </c>
      <c r="C380" s="2">
        <v>19202101228</v>
      </c>
      <c r="D380" s="2">
        <v>2.34</v>
      </c>
      <c r="E380" s="427" t="s">
        <v>420</v>
      </c>
    </row>
    <row r="381" spans="1:5" x14ac:dyDescent="0.25">
      <c r="A381" s="2" t="s">
        <v>1411</v>
      </c>
      <c r="B381" s="2" t="s">
        <v>1412</v>
      </c>
      <c r="C381" s="2">
        <v>19202101243</v>
      </c>
      <c r="D381" s="2">
        <v>2.2999999999999998</v>
      </c>
      <c r="E381" s="427" t="s">
        <v>420</v>
      </c>
    </row>
    <row r="382" spans="1:5" x14ac:dyDescent="0.25">
      <c r="A382" s="2" t="s">
        <v>1411</v>
      </c>
      <c r="B382" s="2" t="s">
        <v>1412</v>
      </c>
      <c r="C382" s="2">
        <v>19202101222</v>
      </c>
      <c r="D382" s="2">
        <v>2.29</v>
      </c>
      <c r="E382" s="427" t="s">
        <v>420</v>
      </c>
    </row>
    <row r="383" spans="1:5" x14ac:dyDescent="0.25">
      <c r="A383" s="2" t="s">
        <v>1411</v>
      </c>
      <c r="B383" s="2" t="s">
        <v>1412</v>
      </c>
      <c r="C383" s="2">
        <v>19202101208</v>
      </c>
      <c r="D383" s="2">
        <v>2.2599999999999998</v>
      </c>
      <c r="E383" s="427" t="s">
        <v>420</v>
      </c>
    </row>
    <row r="384" spans="1:5" x14ac:dyDescent="0.25">
      <c r="A384" s="2" t="s">
        <v>1411</v>
      </c>
      <c r="B384" s="2" t="s">
        <v>1412</v>
      </c>
      <c r="C384" s="2">
        <v>19202101248</v>
      </c>
      <c r="D384" s="2">
        <v>2.2599999999999998</v>
      </c>
      <c r="E384" s="427" t="s">
        <v>420</v>
      </c>
    </row>
    <row r="385" spans="1:5" x14ac:dyDescent="0.25">
      <c r="A385" s="2" t="s">
        <v>1411</v>
      </c>
      <c r="B385" s="2" t="s">
        <v>1412</v>
      </c>
      <c r="C385" s="2">
        <v>19202101239</v>
      </c>
      <c r="D385" s="2">
        <v>2.25</v>
      </c>
      <c r="E385" s="427" t="s">
        <v>420</v>
      </c>
    </row>
    <row r="386" spans="1:5" x14ac:dyDescent="0.25">
      <c r="A386" s="2" t="s">
        <v>1411</v>
      </c>
      <c r="B386" s="2" t="s">
        <v>1412</v>
      </c>
      <c r="C386" s="2">
        <v>19202101231</v>
      </c>
      <c r="D386" s="2">
        <v>2.2200000000000002</v>
      </c>
      <c r="E386" s="427" t="s">
        <v>420</v>
      </c>
    </row>
    <row r="387" spans="1:5" x14ac:dyDescent="0.25">
      <c r="A387" s="2" t="s">
        <v>1450</v>
      </c>
      <c r="B387" s="2" t="s">
        <v>1451</v>
      </c>
      <c r="C387" s="2">
        <v>19202101378</v>
      </c>
      <c r="D387" s="2">
        <v>3.46</v>
      </c>
      <c r="E387" s="426" t="s">
        <v>419</v>
      </c>
    </row>
    <row r="388" spans="1:5" x14ac:dyDescent="0.25">
      <c r="A388" s="2" t="s">
        <v>1450</v>
      </c>
      <c r="B388" s="2" t="s">
        <v>1451</v>
      </c>
      <c r="C388" s="2">
        <v>19202101394</v>
      </c>
      <c r="D388" s="2">
        <v>3.31</v>
      </c>
      <c r="E388" s="426" t="s">
        <v>419</v>
      </c>
    </row>
    <row r="389" spans="1:5" x14ac:dyDescent="0.25">
      <c r="A389" s="2" t="s">
        <v>1450</v>
      </c>
      <c r="B389" s="2" t="s">
        <v>1451</v>
      </c>
      <c r="C389" s="2">
        <v>19202101392</v>
      </c>
      <c r="D389" s="2">
        <v>3.28</v>
      </c>
      <c r="E389" s="426" t="s">
        <v>419</v>
      </c>
    </row>
    <row r="390" spans="1:5" x14ac:dyDescent="0.25">
      <c r="A390" s="2" t="s">
        <v>1450</v>
      </c>
      <c r="B390" s="2" t="s">
        <v>1451</v>
      </c>
      <c r="C390" s="2">
        <v>19202101375</v>
      </c>
      <c r="D390" s="2">
        <v>3.22</v>
      </c>
      <c r="E390" s="426" t="s">
        <v>419</v>
      </c>
    </row>
    <row r="391" spans="1:5" x14ac:dyDescent="0.25">
      <c r="A391" s="2" t="s">
        <v>1450</v>
      </c>
      <c r="B391" s="2" t="s">
        <v>1451</v>
      </c>
      <c r="C391" s="2">
        <v>19202101395</v>
      </c>
      <c r="D391" s="2">
        <v>3.2</v>
      </c>
      <c r="E391" s="426" t="s">
        <v>419</v>
      </c>
    </row>
    <row r="392" spans="1:5" x14ac:dyDescent="0.25">
      <c r="A392" s="2" t="s">
        <v>1450</v>
      </c>
      <c r="B392" s="2" t="s">
        <v>1451</v>
      </c>
      <c r="C392" s="2">
        <v>19202101362</v>
      </c>
      <c r="D392" s="2">
        <v>3.17</v>
      </c>
      <c r="E392" s="426" t="s">
        <v>419</v>
      </c>
    </row>
    <row r="393" spans="1:5" x14ac:dyDescent="0.25">
      <c r="A393" s="2" t="s">
        <v>1450</v>
      </c>
      <c r="B393" s="2" t="s">
        <v>1451</v>
      </c>
      <c r="C393" s="2">
        <v>19202101398</v>
      </c>
      <c r="D393" s="2">
        <v>3.15</v>
      </c>
      <c r="E393" s="426" t="s">
        <v>419</v>
      </c>
    </row>
    <row r="394" spans="1:5" x14ac:dyDescent="0.25">
      <c r="A394" s="2" t="s">
        <v>1450</v>
      </c>
      <c r="B394" s="2" t="s">
        <v>1451</v>
      </c>
      <c r="C394" s="2">
        <v>19202101399</v>
      </c>
      <c r="D394" s="2">
        <v>3.1</v>
      </c>
      <c r="E394" s="426" t="s">
        <v>419</v>
      </c>
    </row>
    <row r="395" spans="1:5" x14ac:dyDescent="0.25">
      <c r="A395" s="2" t="s">
        <v>1450</v>
      </c>
      <c r="B395" s="2" t="s">
        <v>1451</v>
      </c>
      <c r="C395" s="2">
        <v>19202101396</v>
      </c>
      <c r="D395" s="2">
        <v>3.09</v>
      </c>
      <c r="E395" s="426" t="s">
        <v>419</v>
      </c>
    </row>
    <row r="396" spans="1:5" x14ac:dyDescent="0.25">
      <c r="A396" s="2" t="s">
        <v>1450</v>
      </c>
      <c r="B396" s="2" t="s">
        <v>1451</v>
      </c>
      <c r="C396" s="2">
        <v>19202101353</v>
      </c>
      <c r="D396" s="2">
        <v>3.02</v>
      </c>
      <c r="E396" s="426" t="s">
        <v>419</v>
      </c>
    </row>
    <row r="397" spans="1:5" x14ac:dyDescent="0.25">
      <c r="A397" s="2" t="s">
        <v>1450</v>
      </c>
      <c r="B397" s="2" t="s">
        <v>1451</v>
      </c>
      <c r="C397" s="2">
        <v>19202101374</v>
      </c>
      <c r="D397" s="2">
        <v>2.89</v>
      </c>
      <c r="E397" s="426" t="s">
        <v>419</v>
      </c>
    </row>
    <row r="398" spans="1:5" x14ac:dyDescent="0.25">
      <c r="A398" s="2" t="s">
        <v>1450</v>
      </c>
      <c r="B398" s="2" t="s">
        <v>1451</v>
      </c>
      <c r="C398" s="2">
        <v>19202101376</v>
      </c>
      <c r="D398" s="2">
        <v>2.63</v>
      </c>
      <c r="E398" s="426" t="s">
        <v>419</v>
      </c>
    </row>
    <row r="399" spans="1:5" x14ac:dyDescent="0.25">
      <c r="A399" s="2" t="s">
        <v>1450</v>
      </c>
      <c r="B399" s="2" t="s">
        <v>1451</v>
      </c>
      <c r="C399" s="2">
        <v>19202101397</v>
      </c>
      <c r="D399" s="2">
        <v>2.58</v>
      </c>
      <c r="E399" s="426" t="s">
        <v>419</v>
      </c>
    </row>
  </sheetData>
  <mergeCells count="1">
    <mergeCell ref="A1:F1"/>
  </mergeCells>
  <pageMargins left="0.7" right="0.7" top="0.75" bottom="0.75" header="0.3" footer="0.3"/>
  <pageSetup paperSize="9" orientation="portrait" r:id="rId1"/>
  <ignoredErrors>
    <ignoredError sqref="C3:C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"/>
  <sheetViews>
    <sheetView workbookViewId="0">
      <pane ySplit="2" topLeftCell="A241" activePane="bottomLeft" state="frozen"/>
      <selection pane="bottomLeft" activeCell="H250" sqref="H250"/>
    </sheetView>
  </sheetViews>
  <sheetFormatPr defaultRowHeight="15" x14ac:dyDescent="0.25"/>
  <cols>
    <col min="1" max="1" width="21.42578125" customWidth="1"/>
    <col min="2" max="2" width="43.85546875" style="20" customWidth="1"/>
    <col min="3" max="3" width="24.140625" customWidth="1"/>
    <col min="4" max="4" width="13.140625" bestFit="1" customWidth="1"/>
    <col min="5" max="5" width="20.140625" customWidth="1"/>
  </cols>
  <sheetData>
    <row r="1" spans="1:5" ht="15.75" x14ac:dyDescent="0.25">
      <c r="A1" s="847" t="s">
        <v>15</v>
      </c>
      <c r="B1" s="848"/>
      <c r="C1" s="848"/>
      <c r="D1" s="848"/>
      <c r="E1" s="849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142" t="s">
        <v>43</v>
      </c>
      <c r="B3" s="64" t="s">
        <v>44</v>
      </c>
      <c r="C3" s="48" t="str">
        <f>"619216390067"</f>
        <v>619216390067</v>
      </c>
      <c r="D3" s="38">
        <v>113.4</v>
      </c>
      <c r="E3" s="39" t="s">
        <v>419</v>
      </c>
    </row>
    <row r="4" spans="1:5" x14ac:dyDescent="0.25">
      <c r="A4" s="143" t="s">
        <v>43</v>
      </c>
      <c r="B4" s="25" t="s">
        <v>44</v>
      </c>
      <c r="C4" s="5" t="s">
        <v>47</v>
      </c>
      <c r="D4" s="9">
        <v>89.3</v>
      </c>
      <c r="E4" s="41" t="s">
        <v>419</v>
      </c>
    </row>
    <row r="5" spans="1:5" x14ac:dyDescent="0.25">
      <c r="A5" s="143" t="s">
        <v>43</v>
      </c>
      <c r="B5" s="25" t="s">
        <v>44</v>
      </c>
      <c r="C5" s="5" t="s">
        <v>48</v>
      </c>
      <c r="D5" s="9">
        <v>88.9</v>
      </c>
      <c r="E5" s="41" t="s">
        <v>419</v>
      </c>
    </row>
    <row r="6" spans="1:5" x14ac:dyDescent="0.25">
      <c r="A6" s="143" t="s">
        <v>43</v>
      </c>
      <c r="B6" s="25" t="s">
        <v>44</v>
      </c>
      <c r="C6" s="5" t="s">
        <v>62</v>
      </c>
      <c r="D6" s="9">
        <v>86.2</v>
      </c>
      <c r="E6" s="41" t="s">
        <v>419</v>
      </c>
    </row>
    <row r="7" spans="1:5" x14ac:dyDescent="0.25">
      <c r="A7" s="143" t="s">
        <v>43</v>
      </c>
      <c r="B7" s="25" t="s">
        <v>44</v>
      </c>
      <c r="C7" s="5" t="s">
        <v>49</v>
      </c>
      <c r="D7" s="9">
        <v>81.8</v>
      </c>
      <c r="E7" s="41" t="s">
        <v>419</v>
      </c>
    </row>
    <row r="8" spans="1:5" x14ac:dyDescent="0.25">
      <c r="A8" s="143" t="s">
        <v>43</v>
      </c>
      <c r="B8" s="25" t="s">
        <v>44</v>
      </c>
      <c r="C8" s="5" t="s">
        <v>50</v>
      </c>
      <c r="D8" s="9">
        <v>80.3</v>
      </c>
      <c r="E8" s="41" t="s">
        <v>419</v>
      </c>
    </row>
    <row r="9" spans="1:5" x14ac:dyDescent="0.25">
      <c r="A9" s="143" t="s">
        <v>43</v>
      </c>
      <c r="B9" s="25" t="s">
        <v>44</v>
      </c>
      <c r="C9" s="5" t="s">
        <v>51</v>
      </c>
      <c r="D9" s="9">
        <v>78.8</v>
      </c>
      <c r="E9" s="41" t="s">
        <v>419</v>
      </c>
    </row>
    <row r="10" spans="1:5" x14ac:dyDescent="0.25">
      <c r="A10" s="143" t="s">
        <v>43</v>
      </c>
      <c r="B10" s="25" t="s">
        <v>44</v>
      </c>
      <c r="C10" s="5" t="s">
        <v>63</v>
      </c>
      <c r="D10" s="9">
        <v>76.900000000000006</v>
      </c>
      <c r="E10" s="41" t="s">
        <v>419</v>
      </c>
    </row>
    <row r="11" spans="1:5" x14ac:dyDescent="0.25">
      <c r="A11" s="143" t="s">
        <v>43</v>
      </c>
      <c r="B11" s="25" t="s">
        <v>44</v>
      </c>
      <c r="C11" s="5" t="s">
        <v>57</v>
      </c>
      <c r="D11" s="9">
        <v>75.400000000000006</v>
      </c>
      <c r="E11" s="66" t="s">
        <v>420</v>
      </c>
    </row>
    <row r="12" spans="1:5" x14ac:dyDescent="0.25">
      <c r="A12" s="143" t="s">
        <v>43</v>
      </c>
      <c r="B12" s="25" t="s">
        <v>44</v>
      </c>
      <c r="C12" s="5" t="s">
        <v>52</v>
      </c>
      <c r="D12" s="9">
        <v>73.900000000000006</v>
      </c>
      <c r="E12" s="66" t="s">
        <v>420</v>
      </c>
    </row>
    <row r="13" spans="1:5" x14ac:dyDescent="0.25">
      <c r="A13" s="143" t="s">
        <v>43</v>
      </c>
      <c r="B13" s="25" t="s">
        <v>44</v>
      </c>
      <c r="C13" s="5" t="s">
        <v>46</v>
      </c>
      <c r="D13" s="9">
        <v>70.8</v>
      </c>
      <c r="E13" s="66" t="s">
        <v>420</v>
      </c>
    </row>
    <row r="14" spans="1:5" x14ac:dyDescent="0.25">
      <c r="A14" s="143" t="s">
        <v>43</v>
      </c>
      <c r="B14" s="25" t="s">
        <v>44</v>
      </c>
      <c r="C14" s="5" t="s">
        <v>55</v>
      </c>
      <c r="D14" s="9">
        <v>66.8</v>
      </c>
      <c r="E14" s="66" t="s">
        <v>420</v>
      </c>
    </row>
    <row r="15" spans="1:5" x14ac:dyDescent="0.25">
      <c r="A15" s="143" t="s">
        <v>43</v>
      </c>
      <c r="B15" s="25" t="s">
        <v>44</v>
      </c>
      <c r="C15" s="5" t="s">
        <v>53</v>
      </c>
      <c r="D15" s="9">
        <v>66.400000000000006</v>
      </c>
      <c r="E15" s="66" t="s">
        <v>420</v>
      </c>
    </row>
    <row r="16" spans="1:5" x14ac:dyDescent="0.25">
      <c r="A16" s="143" t="s">
        <v>43</v>
      </c>
      <c r="B16" s="25" t="s">
        <v>44</v>
      </c>
      <c r="C16" s="5" t="s">
        <v>61</v>
      </c>
      <c r="D16" s="9">
        <v>65.400000000000006</v>
      </c>
      <c r="E16" s="66" t="s">
        <v>420</v>
      </c>
    </row>
    <row r="17" spans="1:5" x14ac:dyDescent="0.25">
      <c r="A17" s="143" t="s">
        <v>43</v>
      </c>
      <c r="B17" s="25" t="s">
        <v>44</v>
      </c>
      <c r="C17" s="5" t="s">
        <v>54</v>
      </c>
      <c r="D17" s="9">
        <v>65.099999999999994</v>
      </c>
      <c r="E17" s="66" t="s">
        <v>420</v>
      </c>
    </row>
    <row r="18" spans="1:5" x14ac:dyDescent="0.25">
      <c r="A18" s="143" t="s">
        <v>43</v>
      </c>
      <c r="B18" s="25" t="s">
        <v>44</v>
      </c>
      <c r="C18" s="5" t="s">
        <v>45</v>
      </c>
      <c r="D18" s="9">
        <v>60.7</v>
      </c>
      <c r="E18" s="66" t="s">
        <v>420</v>
      </c>
    </row>
    <row r="19" spans="1:5" x14ac:dyDescent="0.25">
      <c r="A19" s="143" t="s">
        <v>43</v>
      </c>
      <c r="B19" s="25" t="s">
        <v>44</v>
      </c>
      <c r="C19" s="5" t="s">
        <v>59</v>
      </c>
      <c r="D19" s="9">
        <v>57.1</v>
      </c>
      <c r="E19" s="66" t="s">
        <v>420</v>
      </c>
    </row>
    <row r="20" spans="1:5" x14ac:dyDescent="0.25">
      <c r="A20" s="143" t="s">
        <v>43</v>
      </c>
      <c r="B20" s="25" t="s">
        <v>44</v>
      </c>
      <c r="C20" s="5" t="s">
        <v>64</v>
      </c>
      <c r="D20" s="9">
        <v>50.7</v>
      </c>
      <c r="E20" s="66" t="s">
        <v>420</v>
      </c>
    </row>
    <row r="21" spans="1:5" x14ac:dyDescent="0.25">
      <c r="A21" s="143" t="s">
        <v>43</v>
      </c>
      <c r="B21" s="25" t="s">
        <v>44</v>
      </c>
      <c r="C21" s="5" t="s">
        <v>58</v>
      </c>
      <c r="D21" s="9">
        <v>45.2</v>
      </c>
      <c r="E21" s="66" t="s">
        <v>420</v>
      </c>
    </row>
    <row r="22" spans="1:5" x14ac:dyDescent="0.25">
      <c r="A22" s="143" t="s">
        <v>43</v>
      </c>
      <c r="B22" s="25" t="s">
        <v>44</v>
      </c>
      <c r="C22" s="5" t="s">
        <v>60</v>
      </c>
      <c r="D22" s="9">
        <v>44.7</v>
      </c>
      <c r="E22" s="66" t="s">
        <v>420</v>
      </c>
    </row>
    <row r="23" spans="1:5" ht="15.75" thickBot="1" x14ac:dyDescent="0.3">
      <c r="A23" s="144" t="s">
        <v>43</v>
      </c>
      <c r="B23" s="88" t="s">
        <v>44</v>
      </c>
      <c r="C23" s="44" t="s">
        <v>56</v>
      </c>
      <c r="D23" s="45">
        <v>35.700000000000003</v>
      </c>
      <c r="E23" s="46" t="s">
        <v>420</v>
      </c>
    </row>
    <row r="24" spans="1:5" x14ac:dyDescent="0.25">
      <c r="A24" s="142" t="s">
        <v>43</v>
      </c>
      <c r="B24" s="136" t="s">
        <v>65</v>
      </c>
      <c r="C24" s="151" t="s">
        <v>67</v>
      </c>
      <c r="D24" s="38">
        <v>86.11</v>
      </c>
      <c r="E24" s="39" t="s">
        <v>419</v>
      </c>
    </row>
    <row r="25" spans="1:5" x14ac:dyDescent="0.25">
      <c r="A25" s="143" t="s">
        <v>43</v>
      </c>
      <c r="B25" s="28" t="s">
        <v>65</v>
      </c>
      <c r="C25" s="12" t="s">
        <v>70</v>
      </c>
      <c r="D25" s="9">
        <v>82.11</v>
      </c>
      <c r="E25" s="41" t="s">
        <v>419</v>
      </c>
    </row>
    <row r="26" spans="1:5" x14ac:dyDescent="0.25">
      <c r="A26" s="143" t="s">
        <v>43</v>
      </c>
      <c r="B26" s="28" t="s">
        <v>65</v>
      </c>
      <c r="C26" s="12" t="s">
        <v>68</v>
      </c>
      <c r="D26" s="9">
        <v>79.66</v>
      </c>
      <c r="E26" s="41" t="s">
        <v>419</v>
      </c>
    </row>
    <row r="27" spans="1:5" x14ac:dyDescent="0.25">
      <c r="A27" s="143" t="s">
        <v>43</v>
      </c>
      <c r="B27" s="29" t="s">
        <v>65</v>
      </c>
      <c r="C27" s="12" t="s">
        <v>76</v>
      </c>
      <c r="D27" s="9">
        <v>78.88</v>
      </c>
      <c r="E27" s="41" t="s">
        <v>419</v>
      </c>
    </row>
    <row r="28" spans="1:5" x14ac:dyDescent="0.25">
      <c r="A28" s="143" t="s">
        <v>43</v>
      </c>
      <c r="B28" s="28" t="s">
        <v>65</v>
      </c>
      <c r="C28" s="12" t="s">
        <v>66</v>
      </c>
      <c r="D28" s="9">
        <v>69.33</v>
      </c>
      <c r="E28" s="41" t="s">
        <v>419</v>
      </c>
    </row>
    <row r="29" spans="1:5" x14ac:dyDescent="0.25">
      <c r="A29" s="143" t="s">
        <v>43</v>
      </c>
      <c r="B29" s="28" t="s">
        <v>65</v>
      </c>
      <c r="C29" s="12" t="s">
        <v>71</v>
      </c>
      <c r="D29" s="9">
        <v>67.44</v>
      </c>
      <c r="E29" s="41" t="s">
        <v>419</v>
      </c>
    </row>
    <row r="30" spans="1:5" x14ac:dyDescent="0.25">
      <c r="A30" s="143" t="s">
        <v>43</v>
      </c>
      <c r="B30" s="28" t="s">
        <v>65</v>
      </c>
      <c r="C30" s="12" t="s">
        <v>69</v>
      </c>
      <c r="D30" s="9">
        <v>67.11</v>
      </c>
      <c r="E30" s="41" t="s">
        <v>419</v>
      </c>
    </row>
    <row r="31" spans="1:5" x14ac:dyDescent="0.25">
      <c r="A31" s="143" t="s">
        <v>43</v>
      </c>
      <c r="B31" s="28" t="s">
        <v>65</v>
      </c>
      <c r="C31" s="12" t="s">
        <v>72</v>
      </c>
      <c r="D31" s="9">
        <v>66.77</v>
      </c>
      <c r="E31" s="66" t="s">
        <v>420</v>
      </c>
    </row>
    <row r="32" spans="1:5" x14ac:dyDescent="0.25">
      <c r="A32" s="143" t="s">
        <v>43</v>
      </c>
      <c r="B32" s="29" t="s">
        <v>65</v>
      </c>
      <c r="C32" s="12" t="s">
        <v>73</v>
      </c>
      <c r="D32" s="9">
        <v>54.33</v>
      </c>
      <c r="E32" s="66" t="s">
        <v>420</v>
      </c>
    </row>
    <row r="33" spans="1:5" x14ac:dyDescent="0.25">
      <c r="A33" s="143" t="s">
        <v>43</v>
      </c>
      <c r="B33" s="29" t="s">
        <v>65</v>
      </c>
      <c r="C33" s="12" t="s">
        <v>74</v>
      </c>
      <c r="D33" s="9">
        <v>49.22</v>
      </c>
      <c r="E33" s="66" t="s">
        <v>420</v>
      </c>
    </row>
    <row r="34" spans="1:5" ht="15.75" thickBot="1" x14ac:dyDescent="0.3">
      <c r="A34" s="144" t="s">
        <v>43</v>
      </c>
      <c r="B34" s="100" t="s">
        <v>65</v>
      </c>
      <c r="C34" s="152" t="s">
        <v>75</v>
      </c>
      <c r="D34" s="45">
        <v>26</v>
      </c>
      <c r="E34" s="46" t="s">
        <v>420</v>
      </c>
    </row>
    <row r="35" spans="1:5" x14ac:dyDescent="0.25">
      <c r="A35" s="153" t="s">
        <v>77</v>
      </c>
      <c r="B35" s="104" t="s">
        <v>78</v>
      </c>
      <c r="C35" s="151" t="s">
        <v>80</v>
      </c>
      <c r="D35" s="38">
        <v>101.14</v>
      </c>
      <c r="E35" s="39" t="s">
        <v>419</v>
      </c>
    </row>
    <row r="36" spans="1:5" x14ac:dyDescent="0.25">
      <c r="A36" s="154" t="s">
        <v>77</v>
      </c>
      <c r="B36" s="103" t="s">
        <v>78</v>
      </c>
      <c r="C36" s="12" t="s">
        <v>79</v>
      </c>
      <c r="D36" s="9">
        <v>94.14</v>
      </c>
      <c r="E36" s="41" t="s">
        <v>419</v>
      </c>
    </row>
    <row r="37" spans="1:5" x14ac:dyDescent="0.25">
      <c r="A37" s="154" t="s">
        <v>77</v>
      </c>
      <c r="B37" s="103" t="s">
        <v>78</v>
      </c>
      <c r="C37" s="12" t="s">
        <v>81</v>
      </c>
      <c r="D37" s="9">
        <v>90.57</v>
      </c>
      <c r="E37" s="41" t="s">
        <v>419</v>
      </c>
    </row>
    <row r="38" spans="1:5" x14ac:dyDescent="0.25">
      <c r="A38" s="154" t="s">
        <v>77</v>
      </c>
      <c r="B38" s="103" t="s">
        <v>78</v>
      </c>
      <c r="C38" s="12" t="s">
        <v>82</v>
      </c>
      <c r="D38" s="9">
        <v>89.14</v>
      </c>
      <c r="E38" s="41" t="s">
        <v>419</v>
      </c>
    </row>
    <row r="39" spans="1:5" x14ac:dyDescent="0.25">
      <c r="A39" s="154" t="s">
        <v>77</v>
      </c>
      <c r="B39" s="103" t="s">
        <v>78</v>
      </c>
      <c r="C39" s="12" t="s">
        <v>83</v>
      </c>
      <c r="D39" s="9">
        <v>87.42</v>
      </c>
      <c r="E39" s="41" t="s">
        <v>419</v>
      </c>
    </row>
    <row r="40" spans="1:5" x14ac:dyDescent="0.25">
      <c r="A40" s="154" t="s">
        <v>77</v>
      </c>
      <c r="B40" s="103" t="s">
        <v>78</v>
      </c>
      <c r="C40" s="12" t="s">
        <v>84</v>
      </c>
      <c r="D40" s="9">
        <v>75.569999999999993</v>
      </c>
      <c r="E40" s="41" t="s">
        <v>419</v>
      </c>
    </row>
    <row r="41" spans="1:5" x14ac:dyDescent="0.25">
      <c r="A41" s="154" t="s">
        <v>77</v>
      </c>
      <c r="B41" s="103" t="s">
        <v>78</v>
      </c>
      <c r="C41" s="12" t="s">
        <v>85</v>
      </c>
      <c r="D41" s="9">
        <v>68.42</v>
      </c>
      <c r="E41" s="41" t="s">
        <v>419</v>
      </c>
    </row>
    <row r="42" spans="1:5" x14ac:dyDescent="0.25">
      <c r="A42" s="154" t="s">
        <v>77</v>
      </c>
      <c r="B42" s="103" t="s">
        <v>78</v>
      </c>
      <c r="C42" s="12" t="s">
        <v>86</v>
      </c>
      <c r="D42" s="9">
        <v>68</v>
      </c>
      <c r="E42" s="41" t="s">
        <v>419</v>
      </c>
    </row>
    <row r="43" spans="1:5" x14ac:dyDescent="0.25">
      <c r="A43" s="154" t="s">
        <v>77</v>
      </c>
      <c r="B43" s="103" t="s">
        <v>78</v>
      </c>
      <c r="C43" s="12" t="s">
        <v>88</v>
      </c>
      <c r="D43" s="9">
        <v>67.28</v>
      </c>
      <c r="E43" s="66" t="s">
        <v>420</v>
      </c>
    </row>
    <row r="44" spans="1:5" x14ac:dyDescent="0.25">
      <c r="A44" s="154" t="s">
        <v>77</v>
      </c>
      <c r="B44" s="103" t="s">
        <v>78</v>
      </c>
      <c r="C44" s="12" t="s">
        <v>89</v>
      </c>
      <c r="D44" s="9">
        <v>64.709999999999994</v>
      </c>
      <c r="E44" s="66" t="s">
        <v>420</v>
      </c>
    </row>
    <row r="45" spans="1:5" x14ac:dyDescent="0.25">
      <c r="A45" s="154" t="s">
        <v>77</v>
      </c>
      <c r="B45" s="103" t="s">
        <v>78</v>
      </c>
      <c r="C45" s="12" t="s">
        <v>90</v>
      </c>
      <c r="D45" s="9">
        <v>63.85</v>
      </c>
      <c r="E45" s="66" t="s">
        <v>420</v>
      </c>
    </row>
    <row r="46" spans="1:5" x14ac:dyDescent="0.25">
      <c r="A46" s="154" t="s">
        <v>77</v>
      </c>
      <c r="B46" s="103" t="s">
        <v>78</v>
      </c>
      <c r="C46" s="12" t="s">
        <v>87</v>
      </c>
      <c r="D46" s="9">
        <v>63.28</v>
      </c>
      <c r="E46" s="66" t="s">
        <v>420</v>
      </c>
    </row>
    <row r="47" spans="1:5" x14ac:dyDescent="0.25">
      <c r="A47" s="154" t="s">
        <v>77</v>
      </c>
      <c r="B47" s="103" t="s">
        <v>78</v>
      </c>
      <c r="C47" s="12" t="s">
        <v>91</v>
      </c>
      <c r="D47" s="9">
        <v>60.57</v>
      </c>
      <c r="E47" s="66" t="s">
        <v>420</v>
      </c>
    </row>
    <row r="48" spans="1:5" x14ac:dyDescent="0.25">
      <c r="A48" s="154" t="s">
        <v>77</v>
      </c>
      <c r="B48" s="103" t="s">
        <v>78</v>
      </c>
      <c r="C48" s="12" t="s">
        <v>92</v>
      </c>
      <c r="D48" s="9">
        <v>59.57</v>
      </c>
      <c r="E48" s="66" t="s">
        <v>420</v>
      </c>
    </row>
    <row r="49" spans="1:5" x14ac:dyDescent="0.25">
      <c r="A49" s="154" t="s">
        <v>77</v>
      </c>
      <c r="B49" s="103" t="s">
        <v>78</v>
      </c>
      <c r="C49" s="12" t="s">
        <v>93</v>
      </c>
      <c r="D49" s="9">
        <v>56.14</v>
      </c>
      <c r="E49" s="66" t="s">
        <v>420</v>
      </c>
    </row>
    <row r="50" spans="1:5" x14ac:dyDescent="0.25">
      <c r="A50" s="154" t="s">
        <v>77</v>
      </c>
      <c r="B50" s="103" t="s">
        <v>78</v>
      </c>
      <c r="C50" s="12" t="s">
        <v>94</v>
      </c>
      <c r="D50" s="9">
        <v>53.85</v>
      </c>
      <c r="E50" s="66" t="s">
        <v>420</v>
      </c>
    </row>
    <row r="51" spans="1:5" x14ac:dyDescent="0.25">
      <c r="A51" s="154" t="s">
        <v>77</v>
      </c>
      <c r="B51" s="103" t="s">
        <v>78</v>
      </c>
      <c r="C51" s="12" t="s">
        <v>95</v>
      </c>
      <c r="D51" s="9">
        <v>53.85</v>
      </c>
      <c r="E51" s="66" t="s">
        <v>420</v>
      </c>
    </row>
    <row r="52" spans="1:5" x14ac:dyDescent="0.25">
      <c r="A52" s="154" t="s">
        <v>77</v>
      </c>
      <c r="B52" s="103" t="s">
        <v>78</v>
      </c>
      <c r="C52" s="12" t="s">
        <v>96</v>
      </c>
      <c r="D52" s="9">
        <v>53.57</v>
      </c>
      <c r="E52" s="66" t="s">
        <v>420</v>
      </c>
    </row>
    <row r="53" spans="1:5" x14ac:dyDescent="0.25">
      <c r="A53" s="154" t="s">
        <v>77</v>
      </c>
      <c r="B53" s="103" t="s">
        <v>78</v>
      </c>
      <c r="C53" s="12" t="s">
        <v>97</v>
      </c>
      <c r="D53" s="9">
        <v>49.71</v>
      </c>
      <c r="E53" s="66" t="s">
        <v>420</v>
      </c>
    </row>
    <row r="54" spans="1:5" x14ac:dyDescent="0.25">
      <c r="A54" s="154" t="s">
        <v>77</v>
      </c>
      <c r="B54" s="103" t="s">
        <v>78</v>
      </c>
      <c r="C54" s="12" t="s">
        <v>98</v>
      </c>
      <c r="D54" s="15">
        <v>45.71</v>
      </c>
      <c r="E54" s="66" t="s">
        <v>420</v>
      </c>
    </row>
    <row r="55" spans="1:5" x14ac:dyDescent="0.25">
      <c r="A55" s="154" t="s">
        <v>77</v>
      </c>
      <c r="B55" s="103" t="s">
        <v>78</v>
      </c>
      <c r="C55" s="12" t="s">
        <v>99</v>
      </c>
      <c r="D55" s="15">
        <v>39</v>
      </c>
      <c r="E55" s="66" t="s">
        <v>420</v>
      </c>
    </row>
    <row r="56" spans="1:5" x14ac:dyDescent="0.25">
      <c r="A56" s="154" t="s">
        <v>77</v>
      </c>
      <c r="B56" s="103" t="s">
        <v>78</v>
      </c>
      <c r="C56" s="12" t="s">
        <v>100</v>
      </c>
      <c r="D56" s="15">
        <v>36</v>
      </c>
      <c r="E56" s="66" t="s">
        <v>420</v>
      </c>
    </row>
    <row r="57" spans="1:5" x14ac:dyDescent="0.25">
      <c r="A57" s="154" t="s">
        <v>77</v>
      </c>
      <c r="B57" s="103" t="s">
        <v>78</v>
      </c>
      <c r="C57" s="12" t="s">
        <v>103</v>
      </c>
      <c r="D57" s="15">
        <v>34.42</v>
      </c>
      <c r="E57" s="66" t="s">
        <v>420</v>
      </c>
    </row>
    <row r="58" spans="1:5" x14ac:dyDescent="0.25">
      <c r="A58" s="154" t="s">
        <v>77</v>
      </c>
      <c r="B58" s="103" t="s">
        <v>78</v>
      </c>
      <c r="C58" s="12" t="s">
        <v>101</v>
      </c>
      <c r="D58" s="15">
        <v>31.42</v>
      </c>
      <c r="E58" s="66" t="s">
        <v>420</v>
      </c>
    </row>
    <row r="59" spans="1:5" ht="15.75" thickBot="1" x14ac:dyDescent="0.3">
      <c r="A59" s="155" t="s">
        <v>77</v>
      </c>
      <c r="B59" s="105" t="s">
        <v>78</v>
      </c>
      <c r="C59" s="152" t="s">
        <v>102</v>
      </c>
      <c r="D59" s="97">
        <v>28.71</v>
      </c>
      <c r="E59" s="46" t="s">
        <v>420</v>
      </c>
    </row>
    <row r="60" spans="1:5" x14ac:dyDescent="0.25">
      <c r="A60" s="153" t="s">
        <v>77</v>
      </c>
      <c r="B60" s="104" t="s">
        <v>104</v>
      </c>
      <c r="C60" s="151" t="s">
        <v>109</v>
      </c>
      <c r="D60" s="38">
        <v>82.25</v>
      </c>
      <c r="E60" s="39" t="s">
        <v>419</v>
      </c>
    </row>
    <row r="61" spans="1:5" x14ac:dyDescent="0.25">
      <c r="A61" s="154" t="s">
        <v>77</v>
      </c>
      <c r="B61" s="103" t="s">
        <v>104</v>
      </c>
      <c r="C61" s="12" t="s">
        <v>108</v>
      </c>
      <c r="D61" s="9">
        <v>76.87</v>
      </c>
      <c r="E61" s="41" t="s">
        <v>419</v>
      </c>
    </row>
    <row r="62" spans="1:5" x14ac:dyDescent="0.25">
      <c r="A62" s="154" t="s">
        <v>77</v>
      </c>
      <c r="B62" s="103" t="s">
        <v>104</v>
      </c>
      <c r="C62" s="12" t="s">
        <v>106</v>
      </c>
      <c r="D62" s="9">
        <v>76.5</v>
      </c>
      <c r="E62" s="41" t="s">
        <v>419</v>
      </c>
    </row>
    <row r="63" spans="1:5" x14ac:dyDescent="0.25">
      <c r="A63" s="154" t="s">
        <v>77</v>
      </c>
      <c r="B63" s="103" t="s">
        <v>104</v>
      </c>
      <c r="C63" s="16">
        <v>619216390272</v>
      </c>
      <c r="D63" s="9">
        <v>69.12</v>
      </c>
      <c r="E63" s="41" t="s">
        <v>419</v>
      </c>
    </row>
    <row r="64" spans="1:5" x14ac:dyDescent="0.25">
      <c r="A64" s="154" t="s">
        <v>77</v>
      </c>
      <c r="B64" s="103" t="s">
        <v>104</v>
      </c>
      <c r="C64" s="12" t="s">
        <v>107</v>
      </c>
      <c r="D64" s="9">
        <v>63.5</v>
      </c>
      <c r="E64" s="41" t="s">
        <v>419</v>
      </c>
    </row>
    <row r="65" spans="1:5" x14ac:dyDescent="0.25">
      <c r="A65" s="154" t="s">
        <v>77</v>
      </c>
      <c r="B65" s="103" t="s">
        <v>104</v>
      </c>
      <c r="C65" s="12" t="s">
        <v>105</v>
      </c>
      <c r="D65" s="9">
        <v>57.25</v>
      </c>
      <c r="E65" s="41" t="s">
        <v>419</v>
      </c>
    </row>
    <row r="66" spans="1:5" ht="15.75" thickBot="1" x14ac:dyDescent="0.3">
      <c r="A66" s="155" t="s">
        <v>77</v>
      </c>
      <c r="B66" s="105" t="s">
        <v>104</v>
      </c>
      <c r="C66" s="152" t="s">
        <v>110</v>
      </c>
      <c r="D66" s="292">
        <v>50</v>
      </c>
      <c r="E66" s="119" t="s">
        <v>420</v>
      </c>
    </row>
    <row r="67" spans="1:5" ht="15.75" thickBot="1" x14ac:dyDescent="0.3">
      <c r="A67" s="387" t="s">
        <v>737</v>
      </c>
      <c r="B67" s="309" t="s">
        <v>65</v>
      </c>
      <c r="C67" s="48" t="str">
        <f>"619217391972"</f>
        <v>619217391972</v>
      </c>
      <c r="D67" s="30">
        <v>54.73</v>
      </c>
      <c r="E67" s="226" t="s">
        <v>420</v>
      </c>
    </row>
    <row r="68" spans="1:5" ht="15.75" thickBot="1" x14ac:dyDescent="0.3">
      <c r="A68" s="44" t="s">
        <v>737</v>
      </c>
      <c r="B68" s="309" t="s">
        <v>65</v>
      </c>
      <c r="C68" s="48" t="str">
        <f>"619217391970"</f>
        <v>619217391970</v>
      </c>
      <c r="D68" s="30">
        <v>61</v>
      </c>
      <c r="E68" s="226" t="s">
        <v>420</v>
      </c>
    </row>
    <row r="69" spans="1:5" ht="15.75" thickBot="1" x14ac:dyDescent="0.3">
      <c r="A69" s="387" t="s">
        <v>737</v>
      </c>
      <c r="B69" s="309" t="s">
        <v>65</v>
      </c>
      <c r="C69" s="44" t="str">
        <f>"619217391971"</f>
        <v>619217391971</v>
      </c>
      <c r="D69" s="30">
        <v>64.64</v>
      </c>
      <c r="E69" s="225" t="s">
        <v>419</v>
      </c>
    </row>
    <row r="70" spans="1:5" ht="15.75" thickBot="1" x14ac:dyDescent="0.3">
      <c r="A70" s="44" t="s">
        <v>737</v>
      </c>
      <c r="B70" s="309" t="s">
        <v>65</v>
      </c>
      <c r="C70" s="5" t="str">
        <f>"619217391968"</f>
        <v>619217391968</v>
      </c>
      <c r="D70" s="30">
        <v>71</v>
      </c>
      <c r="E70" s="225" t="s">
        <v>419</v>
      </c>
    </row>
    <row r="71" spans="1:5" x14ac:dyDescent="0.25">
      <c r="A71" s="387" t="s">
        <v>737</v>
      </c>
      <c r="B71" s="309" t="s">
        <v>65</v>
      </c>
      <c r="C71" s="5" t="str">
        <f>"619217391967"</f>
        <v>619217391967</v>
      </c>
      <c r="D71" s="30">
        <v>71.819999999999993</v>
      </c>
      <c r="E71" s="225" t="s">
        <v>419</v>
      </c>
    </row>
    <row r="72" spans="1:5" ht="15.75" thickBot="1" x14ac:dyDescent="0.3">
      <c r="A72" s="106" t="s">
        <v>737</v>
      </c>
      <c r="B72" s="389" t="s">
        <v>65</v>
      </c>
      <c r="C72" s="44" t="str">
        <f>"619217391965"</f>
        <v>619217391965</v>
      </c>
      <c r="D72" s="30">
        <v>85.5</v>
      </c>
      <c r="E72" s="225" t="s">
        <v>419</v>
      </c>
    </row>
    <row r="73" spans="1:5" x14ac:dyDescent="0.25">
      <c r="A73" s="5" t="s">
        <v>737</v>
      </c>
      <c r="B73" s="104" t="s">
        <v>104</v>
      </c>
      <c r="C73" s="185" t="str">
        <f>"619217391969"</f>
        <v>619217391969</v>
      </c>
      <c r="D73" s="30" t="s">
        <v>738</v>
      </c>
      <c r="E73" s="225" t="s">
        <v>419</v>
      </c>
    </row>
    <row r="74" spans="1:5" x14ac:dyDescent="0.25">
      <c r="A74" s="388" t="s">
        <v>737</v>
      </c>
      <c r="B74" s="103" t="s">
        <v>104</v>
      </c>
      <c r="C74" s="5" t="str">
        <f>"619217391964"</f>
        <v>619217391964</v>
      </c>
      <c r="D74" s="30" t="s">
        <v>739</v>
      </c>
      <c r="E74" s="225" t="s">
        <v>419</v>
      </c>
    </row>
    <row r="75" spans="1:5" x14ac:dyDescent="0.25">
      <c r="A75" s="106" t="s">
        <v>737</v>
      </c>
      <c r="B75" s="497" t="s">
        <v>104</v>
      </c>
      <c r="C75" s="579" t="str">
        <f>"619217391966"</f>
        <v>619217391966</v>
      </c>
      <c r="D75" s="578" t="s">
        <v>740</v>
      </c>
      <c r="E75" s="366" t="s">
        <v>419</v>
      </c>
    </row>
    <row r="76" spans="1:5" x14ac:dyDescent="0.25">
      <c r="A76" s="580" t="s">
        <v>1080</v>
      </c>
      <c r="B76" s="1" t="s">
        <v>44</v>
      </c>
      <c r="C76" s="5" t="str">
        <f>"619217393498"</f>
        <v>619217393498</v>
      </c>
      <c r="D76" s="2">
        <v>109.89</v>
      </c>
      <c r="E76" s="225" t="s">
        <v>419</v>
      </c>
    </row>
    <row r="77" spans="1:5" x14ac:dyDescent="0.25">
      <c r="A77" s="2" t="s">
        <v>1080</v>
      </c>
      <c r="B77" s="1" t="s">
        <v>44</v>
      </c>
      <c r="C77" s="5" t="str">
        <f>"619217393536"</f>
        <v>619217393536</v>
      </c>
      <c r="D77" s="2">
        <v>101.44</v>
      </c>
      <c r="E77" s="225" t="s">
        <v>419</v>
      </c>
    </row>
    <row r="78" spans="1:5" x14ac:dyDescent="0.25">
      <c r="A78" s="2" t="s">
        <v>1080</v>
      </c>
      <c r="B78" s="1" t="s">
        <v>44</v>
      </c>
      <c r="C78" s="5" t="str">
        <f>"619217373535"</f>
        <v>619217373535</v>
      </c>
      <c r="D78" s="2">
        <v>101.44</v>
      </c>
      <c r="E78" s="225" t="s">
        <v>419</v>
      </c>
    </row>
    <row r="79" spans="1:5" x14ac:dyDescent="0.25">
      <c r="A79" s="2" t="s">
        <v>1080</v>
      </c>
      <c r="B79" s="1" t="s">
        <v>44</v>
      </c>
      <c r="C79" s="5" t="str">
        <f>"619217393510"</f>
        <v>619217393510</v>
      </c>
      <c r="D79" s="2">
        <v>88.56</v>
      </c>
      <c r="E79" s="225" t="s">
        <v>419</v>
      </c>
    </row>
    <row r="80" spans="1:5" x14ac:dyDescent="0.25">
      <c r="A80" s="2" t="s">
        <v>1080</v>
      </c>
      <c r="B80" s="1" t="s">
        <v>44</v>
      </c>
      <c r="C80" s="5" t="str">
        <f>"619217393506"</f>
        <v>619217393506</v>
      </c>
      <c r="D80" s="2">
        <v>87.67</v>
      </c>
      <c r="E80" s="225" t="s">
        <v>419</v>
      </c>
    </row>
    <row r="81" spans="1:5" x14ac:dyDescent="0.25">
      <c r="A81" s="2" t="s">
        <v>1080</v>
      </c>
      <c r="B81" s="1" t="s">
        <v>44</v>
      </c>
      <c r="C81" s="5" t="str">
        <f>"619217393499"</f>
        <v>619217393499</v>
      </c>
      <c r="D81" s="2">
        <v>87.47</v>
      </c>
      <c r="E81" s="225" t="s">
        <v>419</v>
      </c>
    </row>
    <row r="82" spans="1:5" x14ac:dyDescent="0.25">
      <c r="A82" s="2" t="s">
        <v>1080</v>
      </c>
      <c r="B82" s="1" t="s">
        <v>44</v>
      </c>
      <c r="C82" s="5" t="str">
        <f>"619217393509"</f>
        <v>619217393509</v>
      </c>
      <c r="D82" s="2">
        <v>87.16</v>
      </c>
      <c r="E82" s="225" t="s">
        <v>419</v>
      </c>
    </row>
    <row r="83" spans="1:5" x14ac:dyDescent="0.25">
      <c r="A83" s="2" t="s">
        <v>1080</v>
      </c>
      <c r="B83" s="1" t="s">
        <v>44</v>
      </c>
      <c r="C83" s="5" t="str">
        <f>"619217373597"</f>
        <v>619217373597</v>
      </c>
      <c r="D83" s="2">
        <v>86.56</v>
      </c>
      <c r="E83" s="225" t="s">
        <v>419</v>
      </c>
    </row>
    <row r="84" spans="1:5" x14ac:dyDescent="0.25">
      <c r="A84" s="2" t="s">
        <v>1080</v>
      </c>
      <c r="B84" s="1" t="s">
        <v>44</v>
      </c>
      <c r="C84" s="5" t="str">
        <f>"619217393531"</f>
        <v>619217393531</v>
      </c>
      <c r="D84" s="2">
        <v>86.44</v>
      </c>
      <c r="E84" s="225" t="s">
        <v>419</v>
      </c>
    </row>
    <row r="85" spans="1:5" x14ac:dyDescent="0.25">
      <c r="A85" s="2" t="s">
        <v>1080</v>
      </c>
      <c r="B85" s="1" t="s">
        <v>44</v>
      </c>
      <c r="C85" s="5" t="str">
        <f>"619217393528"</f>
        <v>619217393528</v>
      </c>
      <c r="D85" s="2">
        <v>85.89</v>
      </c>
      <c r="E85" s="225" t="s">
        <v>419</v>
      </c>
    </row>
    <row r="86" spans="1:5" x14ac:dyDescent="0.25">
      <c r="A86" s="2" t="s">
        <v>1080</v>
      </c>
      <c r="B86" s="1" t="s">
        <v>44</v>
      </c>
      <c r="C86" s="5" t="str">
        <f>"619217393522"</f>
        <v>619217393522</v>
      </c>
      <c r="D86" s="2">
        <v>84.67</v>
      </c>
      <c r="E86" s="225" t="s">
        <v>419</v>
      </c>
    </row>
    <row r="87" spans="1:5" x14ac:dyDescent="0.25">
      <c r="A87" s="2" t="s">
        <v>1080</v>
      </c>
      <c r="B87" s="1" t="s">
        <v>44</v>
      </c>
      <c r="C87" s="5" t="str">
        <f>"619217393503"</f>
        <v>619217393503</v>
      </c>
      <c r="D87" s="2">
        <v>81.78</v>
      </c>
      <c r="E87" s="225" t="s">
        <v>419</v>
      </c>
    </row>
    <row r="88" spans="1:5" x14ac:dyDescent="0.25">
      <c r="A88" s="2" t="s">
        <v>1080</v>
      </c>
      <c r="B88" s="1" t="s">
        <v>44</v>
      </c>
      <c r="C88" s="5" t="str">
        <f>"619217393526"</f>
        <v>619217393526</v>
      </c>
      <c r="D88" s="2">
        <v>80.03</v>
      </c>
      <c r="E88" s="225" t="s">
        <v>419</v>
      </c>
    </row>
    <row r="89" spans="1:5" x14ac:dyDescent="0.25">
      <c r="A89" s="2" t="s">
        <v>1080</v>
      </c>
      <c r="B89" s="1" t="s">
        <v>44</v>
      </c>
      <c r="C89" s="5" t="str">
        <f>"619217393527"</f>
        <v>619217393527</v>
      </c>
      <c r="D89" s="2">
        <v>77.78</v>
      </c>
      <c r="E89" s="225" t="s">
        <v>419</v>
      </c>
    </row>
    <row r="90" spans="1:5" x14ac:dyDescent="0.25">
      <c r="A90" s="2" t="s">
        <v>1080</v>
      </c>
      <c r="B90" s="1" t="s">
        <v>44</v>
      </c>
      <c r="C90" s="5" t="str">
        <f>"619217393532"</f>
        <v>619217393532</v>
      </c>
      <c r="D90" s="2">
        <v>77.33</v>
      </c>
      <c r="E90" s="225" t="s">
        <v>419</v>
      </c>
    </row>
    <row r="91" spans="1:5" x14ac:dyDescent="0.25">
      <c r="A91" s="2" t="s">
        <v>1080</v>
      </c>
      <c r="B91" s="1" t="s">
        <v>44</v>
      </c>
      <c r="C91" s="5" t="str">
        <f>"619217393508"</f>
        <v>619217393508</v>
      </c>
      <c r="D91" s="2">
        <v>76.22</v>
      </c>
      <c r="E91" s="225" t="s">
        <v>419</v>
      </c>
    </row>
    <row r="92" spans="1:5" x14ac:dyDescent="0.25">
      <c r="A92" s="2" t="s">
        <v>1080</v>
      </c>
      <c r="B92" s="1" t="s">
        <v>44</v>
      </c>
      <c r="C92" s="5" t="str">
        <f>"619217393530"</f>
        <v>619217393530</v>
      </c>
      <c r="D92" s="2">
        <v>72.89</v>
      </c>
      <c r="E92" s="225" t="s">
        <v>419</v>
      </c>
    </row>
    <row r="93" spans="1:5" x14ac:dyDescent="0.25">
      <c r="A93" s="2" t="s">
        <v>1080</v>
      </c>
      <c r="B93" s="1" t="s">
        <v>44</v>
      </c>
      <c r="C93" s="5" t="str">
        <f>"619217393524"</f>
        <v>619217393524</v>
      </c>
      <c r="D93" s="2">
        <v>71.8</v>
      </c>
      <c r="E93" s="225" t="s">
        <v>419</v>
      </c>
    </row>
    <row r="94" spans="1:5" x14ac:dyDescent="0.25">
      <c r="A94" s="2" t="s">
        <v>1080</v>
      </c>
      <c r="B94" s="1" t="s">
        <v>44</v>
      </c>
      <c r="C94" s="5" t="str">
        <f>"619217393507"</f>
        <v>619217393507</v>
      </c>
      <c r="D94" s="2">
        <v>71.67</v>
      </c>
      <c r="E94" s="225" t="s">
        <v>419</v>
      </c>
    </row>
    <row r="95" spans="1:5" x14ac:dyDescent="0.25">
      <c r="A95" s="2" t="s">
        <v>1080</v>
      </c>
      <c r="B95" s="1" t="s">
        <v>44</v>
      </c>
      <c r="C95" s="5" t="str">
        <f>"619217393525"</f>
        <v>619217393525</v>
      </c>
      <c r="D95" s="2">
        <v>71.180000000000007</v>
      </c>
      <c r="E95" s="225" t="s">
        <v>419</v>
      </c>
    </row>
    <row r="96" spans="1:5" x14ac:dyDescent="0.25">
      <c r="A96" s="2" t="s">
        <v>1080</v>
      </c>
      <c r="B96" s="1" t="s">
        <v>44</v>
      </c>
      <c r="C96" s="5" t="str">
        <f>"619217393537"</f>
        <v>619217393537</v>
      </c>
      <c r="D96" s="2">
        <v>69.56</v>
      </c>
      <c r="E96" s="225" t="s">
        <v>419</v>
      </c>
    </row>
    <row r="97" spans="1:5" x14ac:dyDescent="0.25">
      <c r="A97" s="2" t="s">
        <v>1080</v>
      </c>
      <c r="B97" s="1" t="s">
        <v>44</v>
      </c>
      <c r="C97" s="5" t="str">
        <f>"619217393505"</f>
        <v>619217393505</v>
      </c>
      <c r="D97" s="2">
        <v>68.67</v>
      </c>
      <c r="E97" s="225" t="s">
        <v>419</v>
      </c>
    </row>
    <row r="98" spans="1:5" x14ac:dyDescent="0.25">
      <c r="A98" s="2" t="s">
        <v>1080</v>
      </c>
      <c r="B98" s="1" t="s">
        <v>44</v>
      </c>
      <c r="C98" s="5" t="str">
        <f>"619217393529"</f>
        <v>619217393529</v>
      </c>
      <c r="D98" s="2">
        <v>65.78</v>
      </c>
      <c r="E98" s="225" t="s">
        <v>419</v>
      </c>
    </row>
    <row r="99" spans="1:5" x14ac:dyDescent="0.25">
      <c r="A99" s="2" t="s">
        <v>1080</v>
      </c>
      <c r="B99" s="1" t="s">
        <v>44</v>
      </c>
      <c r="C99" s="5" t="str">
        <f>"619217393501"</f>
        <v>619217393501</v>
      </c>
      <c r="D99" s="2">
        <v>63.44</v>
      </c>
      <c r="E99" s="225" t="s">
        <v>419</v>
      </c>
    </row>
    <row r="100" spans="1:5" x14ac:dyDescent="0.25">
      <c r="A100" s="2" t="s">
        <v>1080</v>
      </c>
      <c r="B100" s="1" t="s">
        <v>44</v>
      </c>
      <c r="C100" s="5" t="str">
        <f>"619217393523"</f>
        <v>619217393523</v>
      </c>
      <c r="D100" s="2">
        <v>63.2</v>
      </c>
      <c r="E100" s="225" t="s">
        <v>419</v>
      </c>
    </row>
    <row r="101" spans="1:5" x14ac:dyDescent="0.25">
      <c r="A101" s="2" t="s">
        <v>1080</v>
      </c>
      <c r="B101" s="1" t="s">
        <v>44</v>
      </c>
      <c r="C101" s="5" t="str">
        <f>"619217393490"</f>
        <v>619217393490</v>
      </c>
      <c r="D101" s="2">
        <v>61.22</v>
      </c>
      <c r="E101" s="225" t="s">
        <v>419</v>
      </c>
    </row>
    <row r="102" spans="1:5" x14ac:dyDescent="0.25">
      <c r="A102" s="2" t="s">
        <v>1080</v>
      </c>
      <c r="B102" s="1" t="s">
        <v>44</v>
      </c>
      <c r="C102" s="5" t="str">
        <f>"619217393502"</f>
        <v>619217393502</v>
      </c>
      <c r="D102" s="2">
        <v>60.44</v>
      </c>
      <c r="E102" s="225" t="s">
        <v>419</v>
      </c>
    </row>
    <row r="103" spans="1:5" x14ac:dyDescent="0.25">
      <c r="A103" s="2" t="s">
        <v>1080</v>
      </c>
      <c r="B103" s="1" t="s">
        <v>44</v>
      </c>
      <c r="C103" s="5" t="str">
        <f>"619217393546"</f>
        <v>619217393546</v>
      </c>
      <c r="D103" s="2">
        <v>53.22</v>
      </c>
      <c r="E103" s="226" t="s">
        <v>420</v>
      </c>
    </row>
    <row r="104" spans="1:5" x14ac:dyDescent="0.25">
      <c r="A104" s="2" t="s">
        <v>1080</v>
      </c>
      <c r="B104" s="1" t="s">
        <v>44</v>
      </c>
      <c r="C104" s="5" t="str">
        <f>"619217393549"</f>
        <v>619217393549</v>
      </c>
      <c r="D104" s="2">
        <v>51.58</v>
      </c>
      <c r="E104" s="226" t="s">
        <v>420</v>
      </c>
    </row>
    <row r="105" spans="1:5" x14ac:dyDescent="0.25">
      <c r="A105" s="2" t="s">
        <v>1080</v>
      </c>
      <c r="B105" s="1" t="s">
        <v>44</v>
      </c>
      <c r="C105" s="5" t="str">
        <f>"619217393542"</f>
        <v>619217393542</v>
      </c>
      <c r="D105" s="2">
        <v>51.33</v>
      </c>
      <c r="E105" s="226" t="s">
        <v>420</v>
      </c>
    </row>
    <row r="106" spans="1:5" x14ac:dyDescent="0.25">
      <c r="A106" s="2" t="s">
        <v>1080</v>
      </c>
      <c r="B106" s="1" t="s">
        <v>44</v>
      </c>
      <c r="C106" s="5" t="str">
        <f>"619217393541"</f>
        <v>619217393541</v>
      </c>
      <c r="D106" s="2">
        <v>50.89</v>
      </c>
      <c r="E106" s="226" t="s">
        <v>420</v>
      </c>
    </row>
    <row r="107" spans="1:5" x14ac:dyDescent="0.25">
      <c r="A107" s="2" t="s">
        <v>1080</v>
      </c>
      <c r="B107" s="1" t="s">
        <v>44</v>
      </c>
      <c r="C107" s="5" t="str">
        <f>"619217393551"</f>
        <v>619217393551</v>
      </c>
      <c r="D107" s="2">
        <v>47.67</v>
      </c>
      <c r="E107" s="226" t="s">
        <v>420</v>
      </c>
    </row>
    <row r="108" spans="1:5" x14ac:dyDescent="0.25">
      <c r="A108" s="2" t="s">
        <v>1080</v>
      </c>
      <c r="B108" s="1" t="s">
        <v>44</v>
      </c>
      <c r="C108" s="5" t="str">
        <f>"619217393553"</f>
        <v>619217393553</v>
      </c>
      <c r="D108" s="2">
        <v>46.89</v>
      </c>
      <c r="E108" s="226" t="s">
        <v>420</v>
      </c>
    </row>
    <row r="109" spans="1:5" x14ac:dyDescent="0.25">
      <c r="A109" s="2" t="s">
        <v>1080</v>
      </c>
      <c r="B109" s="1" t="s">
        <v>44</v>
      </c>
      <c r="C109" s="5" t="str">
        <f>"619217393548"</f>
        <v>619217393548</v>
      </c>
      <c r="D109" s="2">
        <v>46.56</v>
      </c>
      <c r="E109" s="226" t="s">
        <v>420</v>
      </c>
    </row>
    <row r="110" spans="1:5" x14ac:dyDescent="0.25">
      <c r="A110" s="2" t="s">
        <v>1080</v>
      </c>
      <c r="B110" s="1" t="s">
        <v>44</v>
      </c>
      <c r="C110" s="5" t="str">
        <f>"619217373547"</f>
        <v>619217373547</v>
      </c>
      <c r="D110" s="2">
        <v>34.11</v>
      </c>
      <c r="E110" s="226" t="s">
        <v>420</v>
      </c>
    </row>
    <row r="111" spans="1:5" x14ac:dyDescent="0.25">
      <c r="A111" s="2" t="s">
        <v>1080</v>
      </c>
      <c r="B111" s="1" t="s">
        <v>44</v>
      </c>
      <c r="C111" s="5" t="str">
        <f>"619217393552"</f>
        <v>619217393552</v>
      </c>
      <c r="D111" s="2">
        <v>33.89</v>
      </c>
      <c r="E111" s="226" t="s">
        <v>420</v>
      </c>
    </row>
    <row r="112" spans="1:5" x14ac:dyDescent="0.25">
      <c r="A112" s="2" t="s">
        <v>1080</v>
      </c>
      <c r="B112" s="11" t="s">
        <v>78</v>
      </c>
      <c r="C112" s="5" t="str">
        <f>"619217393504"</f>
        <v>619217393504</v>
      </c>
      <c r="D112" s="2">
        <v>85.22</v>
      </c>
      <c r="E112" s="225" t="s">
        <v>419</v>
      </c>
    </row>
    <row r="113" spans="1:5" x14ac:dyDescent="0.25">
      <c r="A113" s="2" t="s">
        <v>1080</v>
      </c>
      <c r="B113" s="11" t="s">
        <v>78</v>
      </c>
      <c r="C113" s="5" t="str">
        <f>"619217393533"</f>
        <v>619217393533</v>
      </c>
      <c r="D113" s="2">
        <v>78.28</v>
      </c>
      <c r="E113" s="225" t="s">
        <v>419</v>
      </c>
    </row>
    <row r="114" spans="1:5" x14ac:dyDescent="0.25">
      <c r="A114" s="2" t="s">
        <v>1080</v>
      </c>
      <c r="B114" s="11" t="s">
        <v>78</v>
      </c>
      <c r="C114" s="5" t="str">
        <f>"619217393513"</f>
        <v>619217393513</v>
      </c>
      <c r="D114" s="2">
        <v>77.89</v>
      </c>
      <c r="E114" s="225" t="s">
        <v>419</v>
      </c>
    </row>
    <row r="115" spans="1:5" x14ac:dyDescent="0.25">
      <c r="A115" s="2" t="s">
        <v>1080</v>
      </c>
      <c r="B115" s="11" t="s">
        <v>78</v>
      </c>
      <c r="C115" s="5" t="str">
        <f>"619217393554"</f>
        <v>619217393554</v>
      </c>
      <c r="D115" s="2">
        <v>77.11</v>
      </c>
      <c r="E115" s="225" t="s">
        <v>419</v>
      </c>
    </row>
    <row r="116" spans="1:5" x14ac:dyDescent="0.25">
      <c r="A116" s="2" t="s">
        <v>1080</v>
      </c>
      <c r="B116" s="11" t="s">
        <v>78</v>
      </c>
      <c r="C116" s="5" t="str">
        <f>"619217393512"</f>
        <v>619217393512</v>
      </c>
      <c r="D116" s="2">
        <v>75.22</v>
      </c>
      <c r="E116" s="225" t="s">
        <v>419</v>
      </c>
    </row>
    <row r="117" spans="1:5" x14ac:dyDescent="0.25">
      <c r="A117" s="2" t="s">
        <v>1080</v>
      </c>
      <c r="B117" s="11" t="s">
        <v>78</v>
      </c>
      <c r="C117" s="5" t="str">
        <f>"619217393518"</f>
        <v>619217393518</v>
      </c>
      <c r="D117" s="2">
        <v>72.5</v>
      </c>
      <c r="E117" s="225" t="s">
        <v>419</v>
      </c>
    </row>
    <row r="118" spans="1:5" x14ac:dyDescent="0.25">
      <c r="A118" s="2" t="s">
        <v>1080</v>
      </c>
      <c r="B118" s="11" t="s">
        <v>78</v>
      </c>
      <c r="C118" s="5" t="str">
        <f>"619217393517"</f>
        <v>619217393517</v>
      </c>
      <c r="D118" s="2">
        <v>72.28</v>
      </c>
      <c r="E118" s="225" t="s">
        <v>419</v>
      </c>
    </row>
    <row r="119" spans="1:5" x14ac:dyDescent="0.25">
      <c r="A119" s="2" t="s">
        <v>1080</v>
      </c>
      <c r="B119" s="11" t="s">
        <v>78</v>
      </c>
      <c r="C119" s="5" t="str">
        <f>"619217393516"</f>
        <v>619217393516</v>
      </c>
      <c r="D119" s="2">
        <v>68.89</v>
      </c>
      <c r="E119" s="225" t="s">
        <v>419</v>
      </c>
    </row>
    <row r="120" spans="1:5" x14ac:dyDescent="0.25">
      <c r="A120" s="2" t="s">
        <v>1080</v>
      </c>
      <c r="B120" s="11" t="s">
        <v>78</v>
      </c>
      <c r="C120" s="5" t="str">
        <f>"619217393495"</f>
        <v>619217393495</v>
      </c>
      <c r="D120" s="2">
        <v>67.56</v>
      </c>
      <c r="E120" s="225" t="s">
        <v>419</v>
      </c>
    </row>
    <row r="121" spans="1:5" x14ac:dyDescent="0.25">
      <c r="A121" s="2" t="s">
        <v>1080</v>
      </c>
      <c r="B121" s="11" t="s">
        <v>78</v>
      </c>
      <c r="C121" s="5" t="str">
        <f>"619217393543"</f>
        <v>619217393543</v>
      </c>
      <c r="D121" s="2">
        <v>59.37</v>
      </c>
      <c r="E121" s="226" t="s">
        <v>420</v>
      </c>
    </row>
    <row r="122" spans="1:5" x14ac:dyDescent="0.25">
      <c r="A122" s="2" t="s">
        <v>1080</v>
      </c>
      <c r="B122" s="11" t="s">
        <v>78</v>
      </c>
      <c r="C122" s="5" t="str">
        <f>"619217393556"</f>
        <v>619217393556</v>
      </c>
      <c r="D122" s="2">
        <v>54.78</v>
      </c>
      <c r="E122" s="226" t="s">
        <v>420</v>
      </c>
    </row>
    <row r="123" spans="1:5" x14ac:dyDescent="0.25">
      <c r="A123" s="2" t="s">
        <v>1080</v>
      </c>
      <c r="B123" s="11" t="s">
        <v>78</v>
      </c>
      <c r="C123" s="5" t="str">
        <f>"619217393544"</f>
        <v>619217393544</v>
      </c>
      <c r="D123" s="2">
        <v>52.56</v>
      </c>
      <c r="E123" s="226" t="s">
        <v>420</v>
      </c>
    </row>
    <row r="124" spans="1:5" x14ac:dyDescent="0.25">
      <c r="A124" s="2" t="s">
        <v>1080</v>
      </c>
      <c r="B124" s="11" t="s">
        <v>78</v>
      </c>
      <c r="C124" s="5" t="str">
        <f>"619217393538"</f>
        <v>619217393538</v>
      </c>
      <c r="D124" s="2">
        <v>50.52</v>
      </c>
      <c r="E124" s="226" t="s">
        <v>420</v>
      </c>
    </row>
    <row r="125" spans="1:5" x14ac:dyDescent="0.25">
      <c r="A125" s="2" t="s">
        <v>1080</v>
      </c>
      <c r="B125" s="11" t="s">
        <v>78</v>
      </c>
      <c r="C125" s="5" t="str">
        <f>"619217393539"</f>
        <v>619217393539</v>
      </c>
      <c r="D125" s="2">
        <v>50.49</v>
      </c>
      <c r="E125" s="226" t="s">
        <v>420</v>
      </c>
    </row>
    <row r="126" spans="1:5" x14ac:dyDescent="0.25">
      <c r="A126" s="2" t="s">
        <v>1080</v>
      </c>
      <c r="B126" s="11" t="s">
        <v>78</v>
      </c>
      <c r="C126" s="5" t="str">
        <f>"619217393545"</f>
        <v>619217393545</v>
      </c>
      <c r="D126" s="2">
        <v>50.11</v>
      </c>
      <c r="E126" s="226" t="s">
        <v>420</v>
      </c>
    </row>
    <row r="127" spans="1:5" x14ac:dyDescent="0.25">
      <c r="A127" s="2" t="s">
        <v>1080</v>
      </c>
      <c r="B127" s="11" t="s">
        <v>78</v>
      </c>
      <c r="C127" s="5" t="str">
        <f>"619217393550"</f>
        <v>619217393550</v>
      </c>
      <c r="D127" s="2">
        <v>48.17</v>
      </c>
      <c r="E127" s="226" t="s">
        <v>420</v>
      </c>
    </row>
    <row r="128" spans="1:5" x14ac:dyDescent="0.25">
      <c r="A128" s="603" t="s">
        <v>1102</v>
      </c>
      <c r="B128" s="11" t="s">
        <v>65</v>
      </c>
      <c r="C128" s="5">
        <v>19201800163</v>
      </c>
      <c r="D128" s="26">
        <v>79.209999999999994</v>
      </c>
      <c r="E128" s="301" t="s">
        <v>419</v>
      </c>
    </row>
    <row r="129" spans="1:5" x14ac:dyDescent="0.25">
      <c r="A129" s="603" t="s">
        <v>1102</v>
      </c>
      <c r="B129" s="11" t="s">
        <v>65</v>
      </c>
      <c r="C129" s="5">
        <v>19201800170</v>
      </c>
      <c r="D129" s="26">
        <v>63.86</v>
      </c>
      <c r="E129" s="301" t="s">
        <v>419</v>
      </c>
    </row>
    <row r="130" spans="1:5" x14ac:dyDescent="0.25">
      <c r="A130" s="603" t="s">
        <v>1102</v>
      </c>
      <c r="B130" s="11" t="s">
        <v>65</v>
      </c>
      <c r="C130" s="5">
        <v>19201800160</v>
      </c>
      <c r="D130" s="26">
        <v>62.78</v>
      </c>
      <c r="E130" s="301" t="s">
        <v>419</v>
      </c>
    </row>
    <row r="131" spans="1:5" x14ac:dyDescent="0.25">
      <c r="A131" s="603" t="s">
        <v>1102</v>
      </c>
      <c r="B131" s="11" t="s">
        <v>65</v>
      </c>
      <c r="C131" s="5">
        <v>19201800164</v>
      </c>
      <c r="D131" s="26">
        <v>58.5</v>
      </c>
      <c r="E131" s="301" t="s">
        <v>419</v>
      </c>
    </row>
    <row r="132" spans="1:5" x14ac:dyDescent="0.25">
      <c r="A132" s="603" t="s">
        <v>1102</v>
      </c>
      <c r="B132" s="11" t="s">
        <v>65</v>
      </c>
      <c r="C132" s="5">
        <v>19201800152</v>
      </c>
      <c r="D132" s="26">
        <v>45.85</v>
      </c>
      <c r="E132" s="301" t="s">
        <v>419</v>
      </c>
    </row>
    <row r="133" spans="1:5" x14ac:dyDescent="0.25">
      <c r="A133" s="603" t="s">
        <v>1102</v>
      </c>
      <c r="B133" s="11" t="s">
        <v>104</v>
      </c>
      <c r="C133" s="5">
        <v>19201800168</v>
      </c>
      <c r="D133" s="2">
        <v>90.21</v>
      </c>
      <c r="E133" s="301" t="s">
        <v>419</v>
      </c>
    </row>
    <row r="134" spans="1:5" x14ac:dyDescent="0.25">
      <c r="A134" s="603" t="s">
        <v>1102</v>
      </c>
      <c r="B134" s="11" t="s">
        <v>104</v>
      </c>
      <c r="C134" s="5">
        <v>19201800169</v>
      </c>
      <c r="D134" s="2">
        <v>75.67</v>
      </c>
      <c r="E134" s="301" t="s">
        <v>419</v>
      </c>
    </row>
    <row r="135" spans="1:5" x14ac:dyDescent="0.25">
      <c r="A135" s="603" t="s">
        <v>1102</v>
      </c>
      <c r="B135" s="11" t="s">
        <v>104</v>
      </c>
      <c r="C135" s="5">
        <v>19201800171</v>
      </c>
      <c r="D135" s="2">
        <v>72.400000000000006</v>
      </c>
      <c r="E135" s="301" t="s">
        <v>419</v>
      </c>
    </row>
    <row r="136" spans="1:5" x14ac:dyDescent="0.25">
      <c r="A136" s="603" t="s">
        <v>1102</v>
      </c>
      <c r="B136" s="480" t="s">
        <v>104</v>
      </c>
      <c r="C136" s="106">
        <v>19201800166</v>
      </c>
      <c r="D136" s="179">
        <v>61.85</v>
      </c>
      <c r="E136" s="604" t="s">
        <v>419</v>
      </c>
    </row>
    <row r="137" spans="1:5" x14ac:dyDescent="0.25">
      <c r="A137" s="2" t="s">
        <v>1173</v>
      </c>
      <c r="B137" s="11" t="s">
        <v>65</v>
      </c>
      <c r="C137" s="5">
        <v>19201900184</v>
      </c>
      <c r="D137" s="2">
        <v>75.25</v>
      </c>
      <c r="E137" s="301" t="s">
        <v>419</v>
      </c>
    </row>
    <row r="138" spans="1:5" x14ac:dyDescent="0.25">
      <c r="A138" s="2" t="s">
        <v>1173</v>
      </c>
      <c r="B138" s="11" t="s">
        <v>65</v>
      </c>
      <c r="C138" s="5">
        <v>19201900207</v>
      </c>
      <c r="D138" s="2">
        <v>67.27</v>
      </c>
      <c r="E138" s="301" t="s">
        <v>419</v>
      </c>
    </row>
    <row r="139" spans="1:5" x14ac:dyDescent="0.25">
      <c r="A139" s="2" t="s">
        <v>1173</v>
      </c>
      <c r="B139" s="11" t="s">
        <v>65</v>
      </c>
      <c r="C139" s="5">
        <v>19201900190</v>
      </c>
      <c r="D139" s="2">
        <v>65.58</v>
      </c>
      <c r="E139" s="301" t="s">
        <v>419</v>
      </c>
    </row>
    <row r="140" spans="1:5" x14ac:dyDescent="0.25">
      <c r="A140" s="2" t="s">
        <v>1173</v>
      </c>
      <c r="B140" s="11" t="s">
        <v>65</v>
      </c>
      <c r="C140" s="5">
        <v>19201900193</v>
      </c>
      <c r="D140" s="2">
        <v>65.25</v>
      </c>
      <c r="E140" s="301" t="s">
        <v>419</v>
      </c>
    </row>
    <row r="141" spans="1:5" x14ac:dyDescent="0.25">
      <c r="A141" s="2" t="s">
        <v>1173</v>
      </c>
      <c r="B141" s="11" t="s">
        <v>65</v>
      </c>
      <c r="C141" s="5">
        <v>19201900213</v>
      </c>
      <c r="D141" s="2">
        <v>63.71</v>
      </c>
      <c r="E141" s="301" t="s">
        <v>419</v>
      </c>
    </row>
    <row r="142" spans="1:5" x14ac:dyDescent="0.25">
      <c r="A142" s="2" t="s">
        <v>1173</v>
      </c>
      <c r="B142" s="11" t="s">
        <v>65</v>
      </c>
      <c r="C142" s="5">
        <v>19201900208</v>
      </c>
      <c r="D142" s="2">
        <v>63.38</v>
      </c>
      <c r="E142" s="301" t="s">
        <v>419</v>
      </c>
    </row>
    <row r="143" spans="1:5" x14ac:dyDescent="0.25">
      <c r="A143" s="2" t="s">
        <v>1173</v>
      </c>
      <c r="B143" s="11" t="s">
        <v>65</v>
      </c>
      <c r="C143" s="5">
        <v>19201900216</v>
      </c>
      <c r="D143" s="2">
        <v>62.47</v>
      </c>
      <c r="E143" s="226" t="s">
        <v>420</v>
      </c>
    </row>
    <row r="144" spans="1:5" x14ac:dyDescent="0.25">
      <c r="A144" s="2" t="s">
        <v>1173</v>
      </c>
      <c r="B144" s="11" t="s">
        <v>65</v>
      </c>
      <c r="C144" s="5">
        <v>19201900191</v>
      </c>
      <c r="D144" s="2">
        <v>54.38</v>
      </c>
      <c r="E144" s="226" t="s">
        <v>420</v>
      </c>
    </row>
    <row r="145" spans="1:5" x14ac:dyDescent="0.25">
      <c r="A145" s="2" t="s">
        <v>1173</v>
      </c>
      <c r="B145" s="11" t="s">
        <v>65</v>
      </c>
      <c r="C145" s="5">
        <v>19201900205</v>
      </c>
      <c r="D145" s="2">
        <v>54.05</v>
      </c>
      <c r="E145" s="226" t="s">
        <v>420</v>
      </c>
    </row>
    <row r="146" spans="1:5" x14ac:dyDescent="0.25">
      <c r="A146" s="2" t="s">
        <v>1173</v>
      </c>
      <c r="B146" s="11" t="s">
        <v>65</v>
      </c>
      <c r="C146" s="5">
        <v>19201900200</v>
      </c>
      <c r="D146" s="2">
        <v>48.14</v>
      </c>
      <c r="E146" s="226" t="s">
        <v>420</v>
      </c>
    </row>
    <row r="147" spans="1:5" x14ac:dyDescent="0.25">
      <c r="A147" s="2" t="s">
        <v>1173</v>
      </c>
      <c r="B147" s="11" t="s">
        <v>104</v>
      </c>
      <c r="C147" s="5">
        <v>19201900212</v>
      </c>
      <c r="D147" s="2">
        <v>84.02</v>
      </c>
      <c r="E147" s="301" t="s">
        <v>419</v>
      </c>
    </row>
    <row r="148" spans="1:5" x14ac:dyDescent="0.25">
      <c r="A148" s="2" t="s">
        <v>1173</v>
      </c>
      <c r="B148" s="11" t="s">
        <v>104</v>
      </c>
      <c r="C148" s="5">
        <v>19201900188</v>
      </c>
      <c r="D148" s="2">
        <v>83.28</v>
      </c>
      <c r="E148" s="301" t="s">
        <v>419</v>
      </c>
    </row>
    <row r="149" spans="1:5" x14ac:dyDescent="0.25">
      <c r="A149" s="2" t="s">
        <v>1173</v>
      </c>
      <c r="B149" s="11" t="s">
        <v>104</v>
      </c>
      <c r="C149" s="5">
        <v>19201900206</v>
      </c>
      <c r="D149" s="2">
        <v>72.53</v>
      </c>
      <c r="E149" s="301" t="s">
        <v>419</v>
      </c>
    </row>
    <row r="150" spans="1:5" x14ac:dyDescent="0.25">
      <c r="A150" s="26" t="s">
        <v>1213</v>
      </c>
      <c r="B150" s="719" t="s">
        <v>44</v>
      </c>
      <c r="C150" s="718">
        <v>19201900910</v>
      </c>
      <c r="D150" s="717">
        <v>79.900000000000006</v>
      </c>
      <c r="E150" s="720" t="s">
        <v>419</v>
      </c>
    </row>
    <row r="151" spans="1:5" x14ac:dyDescent="0.25">
      <c r="A151" s="26" t="s">
        <v>1213</v>
      </c>
      <c r="B151" s="719" t="s">
        <v>44</v>
      </c>
      <c r="C151" s="718">
        <v>19201900901</v>
      </c>
      <c r="D151" s="717">
        <v>73.900000000000006</v>
      </c>
      <c r="E151" s="720" t="s">
        <v>419</v>
      </c>
    </row>
    <row r="152" spans="1:5" x14ac:dyDescent="0.25">
      <c r="A152" s="26" t="s">
        <v>1213</v>
      </c>
      <c r="B152" s="719" t="s">
        <v>44</v>
      </c>
      <c r="C152" s="718">
        <v>19201900925</v>
      </c>
      <c r="D152" s="717">
        <v>70.2</v>
      </c>
      <c r="E152" s="720" t="s">
        <v>419</v>
      </c>
    </row>
    <row r="153" spans="1:5" x14ac:dyDescent="0.25">
      <c r="A153" s="26" t="s">
        <v>1213</v>
      </c>
      <c r="B153" s="719" t="s">
        <v>44</v>
      </c>
      <c r="C153" s="718">
        <v>19201900921</v>
      </c>
      <c r="D153" s="717">
        <v>64.3</v>
      </c>
      <c r="E153" s="720" t="s">
        <v>419</v>
      </c>
    </row>
    <row r="154" spans="1:5" x14ac:dyDescent="0.25">
      <c r="A154" s="26" t="s">
        <v>1213</v>
      </c>
      <c r="B154" s="719" t="s">
        <v>44</v>
      </c>
      <c r="C154" s="718">
        <v>19201900876</v>
      </c>
      <c r="D154" s="717">
        <v>62.2</v>
      </c>
      <c r="E154" s="720" t="s">
        <v>419</v>
      </c>
    </row>
    <row r="155" spans="1:5" x14ac:dyDescent="0.25">
      <c r="A155" s="26" t="s">
        <v>1213</v>
      </c>
      <c r="B155" s="719" t="s">
        <v>44</v>
      </c>
      <c r="C155" s="718">
        <v>19201900902</v>
      </c>
      <c r="D155" s="717">
        <v>62.2</v>
      </c>
      <c r="E155" s="720" t="s">
        <v>419</v>
      </c>
    </row>
    <row r="156" spans="1:5" x14ac:dyDescent="0.25">
      <c r="A156" s="26" t="s">
        <v>1213</v>
      </c>
      <c r="B156" s="719" t="s">
        <v>44</v>
      </c>
      <c r="C156" s="718">
        <v>19201900923</v>
      </c>
      <c r="D156" s="717">
        <v>62.1</v>
      </c>
      <c r="E156" s="720" t="s">
        <v>419</v>
      </c>
    </row>
    <row r="157" spans="1:5" x14ac:dyDescent="0.25">
      <c r="A157" s="26" t="s">
        <v>1213</v>
      </c>
      <c r="B157" s="719" t="s">
        <v>44</v>
      </c>
      <c r="C157" s="718">
        <v>19201900932</v>
      </c>
      <c r="D157" s="717">
        <v>59.6</v>
      </c>
      <c r="E157" s="720" t="s">
        <v>419</v>
      </c>
    </row>
    <row r="158" spans="1:5" x14ac:dyDescent="0.25">
      <c r="A158" s="26" t="s">
        <v>1213</v>
      </c>
      <c r="B158" s="719" t="s">
        <v>44</v>
      </c>
      <c r="C158" s="718">
        <v>19201900898</v>
      </c>
      <c r="D158" s="717">
        <v>59.5</v>
      </c>
      <c r="E158" s="720" t="s">
        <v>419</v>
      </c>
    </row>
    <row r="159" spans="1:5" x14ac:dyDescent="0.25">
      <c r="A159" s="26" t="s">
        <v>1213</v>
      </c>
      <c r="B159" s="719" t="s">
        <v>44</v>
      </c>
      <c r="C159" s="718">
        <v>19201900924</v>
      </c>
      <c r="D159" s="717">
        <v>55.8</v>
      </c>
      <c r="E159" s="720" t="s">
        <v>419</v>
      </c>
    </row>
    <row r="160" spans="1:5" x14ac:dyDescent="0.25">
      <c r="A160" s="26" t="s">
        <v>1213</v>
      </c>
      <c r="B160" s="719" t="s">
        <v>44</v>
      </c>
      <c r="C160" s="718">
        <v>19201900889</v>
      </c>
      <c r="D160" s="717">
        <v>54.1</v>
      </c>
      <c r="E160" s="720" t="s">
        <v>419</v>
      </c>
    </row>
    <row r="161" spans="1:5" x14ac:dyDescent="0.25">
      <c r="A161" s="26" t="s">
        <v>1213</v>
      </c>
      <c r="B161" s="719" t="s">
        <v>44</v>
      </c>
      <c r="C161" s="718">
        <v>19201900905</v>
      </c>
      <c r="D161" s="717">
        <v>50.9</v>
      </c>
      <c r="E161" s="720" t="s">
        <v>419</v>
      </c>
    </row>
    <row r="162" spans="1:5" x14ac:dyDescent="0.25">
      <c r="A162" s="26" t="s">
        <v>1213</v>
      </c>
      <c r="B162" s="719" t="s">
        <v>44</v>
      </c>
      <c r="C162" s="718">
        <v>19201900908</v>
      </c>
      <c r="D162" s="717">
        <v>49.9</v>
      </c>
      <c r="E162" s="720" t="s">
        <v>419</v>
      </c>
    </row>
    <row r="163" spans="1:5" x14ac:dyDescent="0.25">
      <c r="A163" s="26" t="s">
        <v>1213</v>
      </c>
      <c r="B163" s="719" t="s">
        <v>44</v>
      </c>
      <c r="C163" s="718">
        <v>19201900903</v>
      </c>
      <c r="D163" s="717">
        <v>49.7</v>
      </c>
      <c r="E163" s="720" t="s">
        <v>419</v>
      </c>
    </row>
    <row r="164" spans="1:5" x14ac:dyDescent="0.25">
      <c r="A164" s="26" t="s">
        <v>1213</v>
      </c>
      <c r="B164" s="719" t="s">
        <v>44</v>
      </c>
      <c r="C164" s="721">
        <v>19201900927</v>
      </c>
      <c r="D164" s="722">
        <v>45.7</v>
      </c>
      <c r="E164" s="723" t="s">
        <v>420</v>
      </c>
    </row>
    <row r="165" spans="1:5" x14ac:dyDescent="0.25">
      <c r="A165" s="724" t="s">
        <v>1213</v>
      </c>
      <c r="B165" s="725" t="s">
        <v>78</v>
      </c>
      <c r="C165" s="718">
        <v>19201900931</v>
      </c>
      <c r="D165" s="726">
        <v>72.959999999999994</v>
      </c>
      <c r="E165" s="720" t="s">
        <v>419</v>
      </c>
    </row>
    <row r="166" spans="1:5" x14ac:dyDescent="0.25">
      <c r="A166" s="724" t="s">
        <v>1213</v>
      </c>
      <c r="B166" s="725" t="s">
        <v>78</v>
      </c>
      <c r="C166" s="718">
        <v>19201900913</v>
      </c>
      <c r="D166" s="726">
        <v>66.040000000000006</v>
      </c>
      <c r="E166" s="720" t="s">
        <v>419</v>
      </c>
    </row>
    <row r="167" spans="1:5" x14ac:dyDescent="0.25">
      <c r="A167" s="724" t="s">
        <v>1213</v>
      </c>
      <c r="B167" s="725" t="s">
        <v>78</v>
      </c>
      <c r="C167" s="718">
        <v>19201900909</v>
      </c>
      <c r="D167" s="726">
        <v>60.12</v>
      </c>
      <c r="E167" s="720" t="s">
        <v>419</v>
      </c>
    </row>
    <row r="168" spans="1:5" x14ac:dyDescent="0.25">
      <c r="A168" s="724" t="s">
        <v>1213</v>
      </c>
      <c r="B168" s="725" t="s">
        <v>78</v>
      </c>
      <c r="C168" s="718">
        <v>19201900920</v>
      </c>
      <c r="D168" s="726">
        <v>58.31</v>
      </c>
      <c r="E168" s="720" t="s">
        <v>419</v>
      </c>
    </row>
    <row r="169" spans="1:5" x14ac:dyDescent="0.25">
      <c r="A169" s="724" t="s">
        <v>1213</v>
      </c>
      <c r="B169" s="725" t="s">
        <v>78</v>
      </c>
      <c r="C169" s="718">
        <v>19201900906</v>
      </c>
      <c r="D169" s="726">
        <v>56.31</v>
      </c>
      <c r="E169" s="720" t="s">
        <v>419</v>
      </c>
    </row>
    <row r="170" spans="1:5" x14ac:dyDescent="0.25">
      <c r="A170" s="724" t="s">
        <v>1213</v>
      </c>
      <c r="B170" s="725" t="s">
        <v>78</v>
      </c>
      <c r="C170" s="718">
        <v>19201900919</v>
      </c>
      <c r="D170" s="726">
        <v>55.94</v>
      </c>
      <c r="E170" s="720" t="s">
        <v>419</v>
      </c>
    </row>
    <row r="171" spans="1:5" x14ac:dyDescent="0.25">
      <c r="A171" s="724" t="s">
        <v>1213</v>
      </c>
      <c r="B171" s="725" t="s">
        <v>78</v>
      </c>
      <c r="C171" s="718">
        <v>19201900918</v>
      </c>
      <c r="D171" s="726">
        <v>31.59</v>
      </c>
      <c r="E171" s="723" t="s">
        <v>420</v>
      </c>
    </row>
    <row r="172" spans="1:5" x14ac:dyDescent="0.25">
      <c r="A172" s="181" t="s">
        <v>1259</v>
      </c>
      <c r="B172" s="719" t="s">
        <v>44</v>
      </c>
      <c r="C172" s="2">
        <v>19202000681</v>
      </c>
      <c r="D172" s="2">
        <v>81.2</v>
      </c>
      <c r="E172" s="720" t="s">
        <v>419</v>
      </c>
    </row>
    <row r="173" spans="1:5" x14ac:dyDescent="0.25">
      <c r="A173" s="181" t="s">
        <v>1259</v>
      </c>
      <c r="B173" s="719" t="s">
        <v>44</v>
      </c>
      <c r="C173" s="2">
        <v>19202000673</v>
      </c>
      <c r="D173" s="2">
        <v>77.7</v>
      </c>
      <c r="E173" s="720" t="s">
        <v>419</v>
      </c>
    </row>
    <row r="174" spans="1:5" x14ac:dyDescent="0.25">
      <c r="A174" s="181" t="s">
        <v>1259</v>
      </c>
      <c r="B174" s="719" t="s">
        <v>44</v>
      </c>
      <c r="C174" s="2">
        <v>19202000662</v>
      </c>
      <c r="D174" s="2">
        <v>70.599999999999994</v>
      </c>
      <c r="E174" s="720" t="s">
        <v>419</v>
      </c>
    </row>
    <row r="175" spans="1:5" x14ac:dyDescent="0.25">
      <c r="A175" s="181" t="s">
        <v>1259</v>
      </c>
      <c r="B175" s="719" t="s">
        <v>44</v>
      </c>
      <c r="C175" s="2">
        <v>19202000660</v>
      </c>
      <c r="D175" s="2">
        <v>70</v>
      </c>
      <c r="E175" s="720" t="s">
        <v>419</v>
      </c>
    </row>
    <row r="176" spans="1:5" x14ac:dyDescent="0.25">
      <c r="A176" s="181" t="s">
        <v>1259</v>
      </c>
      <c r="B176" s="719" t="s">
        <v>44</v>
      </c>
      <c r="C176" s="2">
        <v>19202000658</v>
      </c>
      <c r="D176" s="2">
        <v>69.900000000000006</v>
      </c>
      <c r="E176" s="720" t="s">
        <v>419</v>
      </c>
    </row>
    <row r="177" spans="1:7" x14ac:dyDescent="0.25">
      <c r="A177" s="181" t="s">
        <v>1259</v>
      </c>
      <c r="B177" s="719" t="s">
        <v>44</v>
      </c>
      <c r="C177" s="2">
        <v>19202000657</v>
      </c>
      <c r="D177" s="2">
        <v>65.400000000000006</v>
      </c>
      <c r="E177" s="723" t="s">
        <v>420</v>
      </c>
    </row>
    <row r="178" spans="1:7" x14ac:dyDescent="0.25">
      <c r="A178" s="181" t="s">
        <v>1259</v>
      </c>
      <c r="B178" s="719" t="s">
        <v>44</v>
      </c>
      <c r="C178" s="2">
        <v>19202000678</v>
      </c>
      <c r="D178" s="2">
        <v>60.8</v>
      </c>
      <c r="E178" s="723" t="s">
        <v>420</v>
      </c>
    </row>
    <row r="179" spans="1:7" x14ac:dyDescent="0.25">
      <c r="A179" s="181" t="s">
        <v>1259</v>
      </c>
      <c r="B179" s="719" t="s">
        <v>44</v>
      </c>
      <c r="C179" s="2">
        <v>19202000659</v>
      </c>
      <c r="D179" s="2">
        <v>60.1</v>
      </c>
      <c r="E179" s="723" t="s">
        <v>420</v>
      </c>
    </row>
    <row r="180" spans="1:7" x14ac:dyDescent="0.25">
      <c r="A180" s="181" t="s">
        <v>1259</v>
      </c>
      <c r="B180" s="719" t="s">
        <v>44</v>
      </c>
      <c r="C180" s="2">
        <v>19202000656</v>
      </c>
      <c r="D180" s="2">
        <v>52.5</v>
      </c>
      <c r="E180" s="723" t="s">
        <v>420</v>
      </c>
    </row>
    <row r="181" spans="1:7" x14ac:dyDescent="0.25">
      <c r="A181" s="181" t="s">
        <v>1259</v>
      </c>
      <c r="B181" s="719" t="s">
        <v>44</v>
      </c>
      <c r="C181" s="2">
        <v>19202000661</v>
      </c>
      <c r="D181" s="2">
        <v>48.4</v>
      </c>
      <c r="E181" s="723" t="s">
        <v>420</v>
      </c>
    </row>
    <row r="182" spans="1:7" x14ac:dyDescent="0.25">
      <c r="A182" s="181" t="s">
        <v>1259</v>
      </c>
      <c r="B182" s="719" t="s">
        <v>44</v>
      </c>
      <c r="C182" s="2">
        <v>19202000679</v>
      </c>
      <c r="D182" s="2">
        <v>46.3</v>
      </c>
      <c r="E182" s="723" t="s">
        <v>420</v>
      </c>
    </row>
    <row r="183" spans="1:7" x14ac:dyDescent="0.25">
      <c r="A183" s="181" t="s">
        <v>1259</v>
      </c>
      <c r="B183" s="719" t="s">
        <v>44</v>
      </c>
      <c r="C183" s="2">
        <v>19202000680</v>
      </c>
      <c r="D183" s="2">
        <v>37.799999999999997</v>
      </c>
      <c r="E183" s="723" t="s">
        <v>420</v>
      </c>
    </row>
    <row r="184" spans="1:7" x14ac:dyDescent="0.25">
      <c r="A184" s="2" t="s">
        <v>1317</v>
      </c>
      <c r="B184" s="26" t="s">
        <v>78</v>
      </c>
      <c r="C184" s="2">
        <v>19202100166</v>
      </c>
      <c r="D184" s="2">
        <v>64.75</v>
      </c>
      <c r="E184" s="720" t="s">
        <v>419</v>
      </c>
      <c r="F184" s="647"/>
      <c r="G184" s="647"/>
    </row>
    <row r="185" spans="1:7" x14ac:dyDescent="0.25">
      <c r="A185" s="2" t="s">
        <v>1317</v>
      </c>
      <c r="B185" s="26" t="s">
        <v>78</v>
      </c>
      <c r="C185" s="2">
        <v>19202100237</v>
      </c>
      <c r="D185" s="2">
        <v>64.34</v>
      </c>
      <c r="E185" s="720" t="s">
        <v>419</v>
      </c>
      <c r="F185" s="647"/>
      <c r="G185" s="647"/>
    </row>
    <row r="186" spans="1:7" x14ac:dyDescent="0.25">
      <c r="A186" s="2" t="s">
        <v>1317</v>
      </c>
      <c r="B186" s="26" t="s">
        <v>78</v>
      </c>
      <c r="C186" s="2">
        <v>19202100245</v>
      </c>
      <c r="D186" s="2">
        <v>63.45</v>
      </c>
      <c r="E186" s="720" t="s">
        <v>419</v>
      </c>
      <c r="F186" s="647"/>
      <c r="G186" s="647"/>
    </row>
    <row r="187" spans="1:7" x14ac:dyDescent="0.25">
      <c r="A187" s="2" t="s">
        <v>1317</v>
      </c>
      <c r="B187" s="26" t="s">
        <v>78</v>
      </c>
      <c r="C187" s="2">
        <v>19202100292</v>
      </c>
      <c r="D187" s="2">
        <v>59.75</v>
      </c>
      <c r="E187" s="720" t="s">
        <v>419</v>
      </c>
      <c r="F187" s="647"/>
      <c r="G187" s="647"/>
    </row>
    <row r="188" spans="1:7" x14ac:dyDescent="0.25">
      <c r="A188" s="2" t="s">
        <v>1317</v>
      </c>
      <c r="B188" s="26" t="s">
        <v>78</v>
      </c>
      <c r="C188" s="2">
        <v>19202100291</v>
      </c>
      <c r="D188" s="2">
        <v>53.62</v>
      </c>
      <c r="E188" s="720" t="s">
        <v>419</v>
      </c>
      <c r="F188" s="647"/>
      <c r="G188" s="647"/>
    </row>
    <row r="189" spans="1:7" x14ac:dyDescent="0.25">
      <c r="A189" s="2" t="s">
        <v>1317</v>
      </c>
      <c r="B189" s="26" t="s">
        <v>78</v>
      </c>
      <c r="C189" s="2">
        <v>19202100253</v>
      </c>
      <c r="D189" s="2">
        <v>53.32</v>
      </c>
      <c r="E189" s="720" t="s">
        <v>419</v>
      </c>
      <c r="F189" s="647"/>
      <c r="G189" s="647"/>
    </row>
    <row r="190" spans="1:7" x14ac:dyDescent="0.25">
      <c r="A190" s="2" t="s">
        <v>1317</v>
      </c>
      <c r="B190" s="26" t="s">
        <v>78</v>
      </c>
      <c r="C190" s="2">
        <v>19202100290</v>
      </c>
      <c r="D190" s="2">
        <v>52.03</v>
      </c>
      <c r="E190" s="720" t="s">
        <v>419</v>
      </c>
      <c r="F190" s="647"/>
      <c r="G190" s="647"/>
    </row>
    <row r="191" spans="1:7" x14ac:dyDescent="0.25">
      <c r="A191" s="2" t="s">
        <v>1317</v>
      </c>
      <c r="B191" s="26" t="s">
        <v>78</v>
      </c>
      <c r="C191" s="2">
        <v>19202100167</v>
      </c>
      <c r="D191" s="2">
        <v>50.47</v>
      </c>
      <c r="E191" s="720" t="s">
        <v>419</v>
      </c>
      <c r="F191" s="647"/>
      <c r="G191" s="647"/>
    </row>
    <row r="192" spans="1:7" x14ac:dyDescent="0.25">
      <c r="A192" s="2" t="s">
        <v>1317</v>
      </c>
      <c r="B192" s="26" t="s">
        <v>78</v>
      </c>
      <c r="C192" s="2">
        <v>19202100226</v>
      </c>
      <c r="D192" s="2">
        <v>49.31</v>
      </c>
      <c r="E192" s="723" t="s">
        <v>420</v>
      </c>
      <c r="F192" s="647"/>
      <c r="G192" s="647"/>
    </row>
    <row r="193" spans="1:7" x14ac:dyDescent="0.25">
      <c r="A193" s="2" t="s">
        <v>1317</v>
      </c>
      <c r="B193" s="26" t="s">
        <v>78</v>
      </c>
      <c r="C193" s="2">
        <v>19202100252</v>
      </c>
      <c r="D193" s="2">
        <v>49.3</v>
      </c>
      <c r="E193" s="723" t="s">
        <v>420</v>
      </c>
      <c r="F193" s="647"/>
      <c r="G193" s="647"/>
    </row>
    <row r="194" spans="1:7" x14ac:dyDescent="0.25">
      <c r="A194" s="2" t="s">
        <v>1317</v>
      </c>
      <c r="B194" s="26" t="s">
        <v>78</v>
      </c>
      <c r="C194" s="2">
        <v>19202100236</v>
      </c>
      <c r="D194" s="2">
        <v>49.16</v>
      </c>
      <c r="E194" s="723" t="s">
        <v>420</v>
      </c>
      <c r="F194" s="647"/>
      <c r="G194" s="647"/>
    </row>
    <row r="195" spans="1:7" x14ac:dyDescent="0.25">
      <c r="A195" s="2" t="s">
        <v>1317</v>
      </c>
      <c r="B195" s="26" t="s">
        <v>78</v>
      </c>
      <c r="C195" s="2">
        <v>19202100246</v>
      </c>
      <c r="D195" s="2">
        <v>45.75</v>
      </c>
      <c r="E195" s="723" t="s">
        <v>420</v>
      </c>
      <c r="F195" s="647"/>
      <c r="G195" s="647"/>
    </row>
    <row r="196" spans="1:7" x14ac:dyDescent="0.25">
      <c r="A196" s="2" t="s">
        <v>1317</v>
      </c>
      <c r="B196" s="26" t="s">
        <v>78</v>
      </c>
      <c r="C196" s="2">
        <v>19202100240</v>
      </c>
      <c r="D196" s="2">
        <v>44.9</v>
      </c>
      <c r="E196" s="723" t="s">
        <v>420</v>
      </c>
      <c r="F196" s="647"/>
      <c r="G196" s="647"/>
    </row>
    <row r="197" spans="1:7" x14ac:dyDescent="0.25">
      <c r="A197" s="2" t="s">
        <v>1317</v>
      </c>
      <c r="B197" s="2" t="s">
        <v>1318</v>
      </c>
      <c r="C197" s="2">
        <v>19202100248</v>
      </c>
      <c r="D197" s="2">
        <v>61.52</v>
      </c>
      <c r="E197" s="720" t="s">
        <v>419</v>
      </c>
    </row>
    <row r="198" spans="1:7" x14ac:dyDescent="0.25">
      <c r="A198" s="2" t="s">
        <v>1317</v>
      </c>
      <c r="B198" s="2" t="s">
        <v>1318</v>
      </c>
      <c r="C198" s="2">
        <v>19202100254</v>
      </c>
      <c r="D198" s="2">
        <v>56.89</v>
      </c>
      <c r="E198" s="720" t="s">
        <v>419</v>
      </c>
    </row>
    <row r="199" spans="1:7" x14ac:dyDescent="0.25">
      <c r="A199" s="2" t="s">
        <v>1317</v>
      </c>
      <c r="B199" s="2" t="s">
        <v>1318</v>
      </c>
      <c r="C199" s="2">
        <v>19202100222</v>
      </c>
      <c r="D199" s="2">
        <v>55.66</v>
      </c>
      <c r="E199" s="720" t="s">
        <v>419</v>
      </c>
    </row>
    <row r="200" spans="1:7" x14ac:dyDescent="0.25">
      <c r="A200" s="2" t="s">
        <v>1317</v>
      </c>
      <c r="B200" s="2" t="s">
        <v>1318</v>
      </c>
      <c r="C200" s="2">
        <v>19202100250</v>
      </c>
      <c r="D200" s="2">
        <v>54.4</v>
      </c>
      <c r="E200" s="720" t="s">
        <v>419</v>
      </c>
    </row>
    <row r="201" spans="1:7" x14ac:dyDescent="0.25">
      <c r="A201" s="2" t="s">
        <v>1317</v>
      </c>
      <c r="B201" s="2" t="s">
        <v>1318</v>
      </c>
      <c r="C201" s="2">
        <v>19202100244</v>
      </c>
      <c r="D201" s="2">
        <v>53.43</v>
      </c>
      <c r="E201" s="720" t="s">
        <v>419</v>
      </c>
    </row>
    <row r="202" spans="1:7" x14ac:dyDescent="0.25">
      <c r="A202" s="2" t="s">
        <v>1317</v>
      </c>
      <c r="B202" s="2" t="s">
        <v>1318</v>
      </c>
      <c r="C202" s="2">
        <v>19202100220</v>
      </c>
      <c r="D202" s="2">
        <v>52.89</v>
      </c>
      <c r="E202" s="720" t="s">
        <v>419</v>
      </c>
    </row>
    <row r="203" spans="1:7" x14ac:dyDescent="0.25">
      <c r="A203" s="2" t="s">
        <v>1317</v>
      </c>
      <c r="B203" s="2" t="s">
        <v>1318</v>
      </c>
      <c r="C203" s="2">
        <v>19202100243</v>
      </c>
      <c r="D203" s="2">
        <v>51.15</v>
      </c>
      <c r="E203" s="720" t="s">
        <v>419</v>
      </c>
    </row>
    <row r="204" spans="1:7" x14ac:dyDescent="0.25">
      <c r="A204" s="2" t="s">
        <v>1317</v>
      </c>
      <c r="B204" s="2" t="s">
        <v>1318</v>
      </c>
      <c r="C204" s="2">
        <v>19202100249</v>
      </c>
      <c r="D204" s="2">
        <v>47.9</v>
      </c>
      <c r="E204" s="720" t="s">
        <v>419</v>
      </c>
    </row>
    <row r="205" spans="1:7" x14ac:dyDescent="0.25">
      <c r="A205" s="2" t="s">
        <v>1317</v>
      </c>
      <c r="B205" s="2" t="s">
        <v>1318</v>
      </c>
      <c r="C205" s="2">
        <v>19202100241</v>
      </c>
      <c r="D205" s="2">
        <v>47.66</v>
      </c>
      <c r="E205" s="720" t="s">
        <v>419</v>
      </c>
    </row>
    <row r="206" spans="1:7" x14ac:dyDescent="0.25">
      <c r="A206" s="2" t="s">
        <v>1317</v>
      </c>
      <c r="B206" s="2" t="s">
        <v>1318</v>
      </c>
      <c r="C206" s="2">
        <v>19202100289</v>
      </c>
      <c r="D206" s="2">
        <v>46.77</v>
      </c>
      <c r="E206" s="720" t="s">
        <v>419</v>
      </c>
    </row>
    <row r="207" spans="1:7" x14ac:dyDescent="0.25">
      <c r="A207" s="2" t="s">
        <v>1317</v>
      </c>
      <c r="B207" s="2" t="s">
        <v>1318</v>
      </c>
      <c r="C207" s="2">
        <v>19202100255</v>
      </c>
      <c r="D207" s="2">
        <v>46.51</v>
      </c>
      <c r="E207" s="720" t="s">
        <v>419</v>
      </c>
    </row>
    <row r="208" spans="1:7" x14ac:dyDescent="0.25">
      <c r="A208" s="2" t="s">
        <v>1317</v>
      </c>
      <c r="B208" s="2" t="s">
        <v>1318</v>
      </c>
      <c r="C208" s="2">
        <v>19202100258</v>
      </c>
      <c r="D208" s="2">
        <v>46.39</v>
      </c>
      <c r="E208" s="720" t="s">
        <v>419</v>
      </c>
    </row>
    <row r="209" spans="1:8" x14ac:dyDescent="0.25">
      <c r="A209" s="2" t="s">
        <v>1317</v>
      </c>
      <c r="B209" s="2" t="s">
        <v>1318</v>
      </c>
      <c r="C209" s="2">
        <v>19202100185</v>
      </c>
      <c r="D209" s="2">
        <v>46.28</v>
      </c>
      <c r="E209" s="720" t="s">
        <v>419</v>
      </c>
    </row>
    <row r="210" spans="1:8" x14ac:dyDescent="0.25">
      <c r="A210" s="2" t="s">
        <v>1317</v>
      </c>
      <c r="B210" s="2" t="s">
        <v>1318</v>
      </c>
      <c r="C210" s="2">
        <v>19202100239</v>
      </c>
      <c r="D210" s="2">
        <v>45.27</v>
      </c>
      <c r="E210" s="720" t="s">
        <v>419</v>
      </c>
    </row>
    <row r="211" spans="1:8" x14ac:dyDescent="0.25">
      <c r="A211" s="2" t="s">
        <v>1317</v>
      </c>
      <c r="B211" s="2" t="s">
        <v>1318</v>
      </c>
      <c r="C211" s="2">
        <v>19202100219</v>
      </c>
      <c r="D211" s="2">
        <v>45.16</v>
      </c>
      <c r="E211" s="720" t="s">
        <v>419</v>
      </c>
    </row>
    <row r="212" spans="1:8" x14ac:dyDescent="0.25">
      <c r="A212" s="2" t="s">
        <v>1317</v>
      </c>
      <c r="B212" s="2" t="s">
        <v>1318</v>
      </c>
      <c r="C212" s="2">
        <v>19202100288</v>
      </c>
      <c r="D212" s="2">
        <v>41.15</v>
      </c>
      <c r="E212" s="720" t="s">
        <v>419</v>
      </c>
    </row>
    <row r="213" spans="1:8" x14ac:dyDescent="0.25">
      <c r="A213" s="2" t="s">
        <v>1317</v>
      </c>
      <c r="B213" s="2" t="s">
        <v>1318</v>
      </c>
      <c r="C213" s="2">
        <v>19202100161</v>
      </c>
      <c r="D213" s="2">
        <v>40.9</v>
      </c>
      <c r="E213" s="720" t="s">
        <v>419</v>
      </c>
    </row>
    <row r="214" spans="1:8" x14ac:dyDescent="0.25">
      <c r="A214" s="2" t="s">
        <v>1317</v>
      </c>
      <c r="B214" s="2" t="s">
        <v>1318</v>
      </c>
      <c r="C214" s="2">
        <v>19202100232</v>
      </c>
      <c r="D214" s="2">
        <v>36.03</v>
      </c>
      <c r="E214" s="720" t="s">
        <v>419</v>
      </c>
    </row>
    <row r="215" spans="1:8" x14ac:dyDescent="0.25">
      <c r="A215" s="2" t="s">
        <v>1317</v>
      </c>
      <c r="B215" s="2" t="s">
        <v>1318</v>
      </c>
      <c r="C215" s="2">
        <v>19202100242</v>
      </c>
      <c r="D215" s="2">
        <v>32.39</v>
      </c>
      <c r="E215" s="720" t="s">
        <v>419</v>
      </c>
    </row>
    <row r="216" spans="1:8" x14ac:dyDescent="0.25">
      <c r="A216" s="2" t="s">
        <v>1343</v>
      </c>
      <c r="B216" s="2" t="s">
        <v>1344</v>
      </c>
      <c r="C216" s="2">
        <v>19202100503</v>
      </c>
      <c r="D216" s="2">
        <v>80.150000000000006</v>
      </c>
      <c r="E216" s="720" t="s">
        <v>419</v>
      </c>
      <c r="F216" s="647"/>
      <c r="G216" s="647"/>
      <c r="H216" s="647"/>
    </row>
    <row r="217" spans="1:8" x14ac:dyDescent="0.25">
      <c r="A217" s="2" t="s">
        <v>1343</v>
      </c>
      <c r="B217" s="2" t="s">
        <v>1344</v>
      </c>
      <c r="C217" s="2">
        <v>19202100490</v>
      </c>
      <c r="D217" s="2">
        <v>78.48</v>
      </c>
      <c r="E217" s="720" t="s">
        <v>419</v>
      </c>
      <c r="F217" s="647"/>
      <c r="G217" s="647"/>
      <c r="H217" s="647"/>
    </row>
    <row r="218" spans="1:8" x14ac:dyDescent="0.25">
      <c r="A218" s="2" t="s">
        <v>1343</v>
      </c>
      <c r="B218" s="2" t="s">
        <v>1344</v>
      </c>
      <c r="C218" s="2">
        <v>19202100510</v>
      </c>
      <c r="D218" s="2">
        <v>77.37</v>
      </c>
      <c r="E218" s="720" t="s">
        <v>419</v>
      </c>
      <c r="F218" s="647"/>
      <c r="G218" s="647"/>
      <c r="H218" s="647"/>
    </row>
    <row r="219" spans="1:8" x14ac:dyDescent="0.25">
      <c r="A219" s="2" t="s">
        <v>1343</v>
      </c>
      <c r="B219" s="2" t="s">
        <v>1344</v>
      </c>
      <c r="C219" s="2">
        <v>19202100506</v>
      </c>
      <c r="D219" s="2">
        <v>76.040000000000006</v>
      </c>
      <c r="E219" s="720" t="s">
        <v>419</v>
      </c>
      <c r="F219" s="647"/>
      <c r="G219" s="647"/>
      <c r="H219" s="647"/>
    </row>
    <row r="220" spans="1:8" x14ac:dyDescent="0.25">
      <c r="A220" s="2" t="s">
        <v>1343</v>
      </c>
      <c r="B220" s="2" t="s">
        <v>1344</v>
      </c>
      <c r="C220" s="2">
        <v>19202100521</v>
      </c>
      <c r="D220" s="2">
        <v>74.27</v>
      </c>
      <c r="E220" s="720" t="s">
        <v>419</v>
      </c>
      <c r="F220" s="647"/>
      <c r="G220" s="647"/>
      <c r="H220" s="647"/>
    </row>
    <row r="221" spans="1:8" x14ac:dyDescent="0.25">
      <c r="A221" s="2" t="s">
        <v>1343</v>
      </c>
      <c r="B221" s="2" t="s">
        <v>1344</v>
      </c>
      <c r="C221" s="2">
        <v>19202100508</v>
      </c>
      <c r="D221" s="2">
        <v>73.180000000000007</v>
      </c>
      <c r="E221" s="720" t="s">
        <v>419</v>
      </c>
      <c r="F221" s="647"/>
      <c r="G221" s="647"/>
      <c r="H221" s="647"/>
    </row>
    <row r="222" spans="1:8" x14ac:dyDescent="0.25">
      <c r="A222" s="2" t="s">
        <v>1343</v>
      </c>
      <c r="B222" s="2" t="s">
        <v>1344</v>
      </c>
      <c r="C222" s="2">
        <v>19202100524</v>
      </c>
      <c r="D222" s="2">
        <v>71.709999999999994</v>
      </c>
      <c r="E222" s="720" t="s">
        <v>419</v>
      </c>
      <c r="F222" s="647"/>
      <c r="G222" s="647"/>
      <c r="H222" s="647"/>
    </row>
    <row r="223" spans="1:8" x14ac:dyDescent="0.25">
      <c r="A223" s="2" t="s">
        <v>1343</v>
      </c>
      <c r="B223" s="2" t="s">
        <v>1344</v>
      </c>
      <c r="C223" s="2">
        <v>19202100520</v>
      </c>
      <c r="D223" s="2">
        <v>70.06</v>
      </c>
      <c r="E223" s="720" t="s">
        <v>419</v>
      </c>
      <c r="F223" s="647"/>
      <c r="G223" s="647"/>
      <c r="H223" s="647"/>
    </row>
    <row r="224" spans="1:8" x14ac:dyDescent="0.25">
      <c r="A224" s="2" t="s">
        <v>1343</v>
      </c>
      <c r="B224" s="2" t="s">
        <v>1344</v>
      </c>
      <c r="C224" s="2">
        <v>19202100523</v>
      </c>
      <c r="D224" s="2">
        <v>69.37</v>
      </c>
      <c r="E224" s="720" t="s">
        <v>419</v>
      </c>
      <c r="F224" s="647"/>
      <c r="G224" s="647"/>
      <c r="H224" s="647"/>
    </row>
    <row r="225" spans="1:8" x14ac:dyDescent="0.25">
      <c r="A225" s="2" t="s">
        <v>1343</v>
      </c>
      <c r="B225" s="2" t="s">
        <v>1344</v>
      </c>
      <c r="C225" s="2">
        <v>19202100416</v>
      </c>
      <c r="D225" s="2">
        <v>65.48</v>
      </c>
      <c r="E225" s="720" t="s">
        <v>419</v>
      </c>
      <c r="F225" s="647"/>
      <c r="G225" s="647"/>
      <c r="H225" s="647"/>
    </row>
    <row r="226" spans="1:8" x14ac:dyDescent="0.25">
      <c r="A226" s="2" t="s">
        <v>1343</v>
      </c>
      <c r="B226" s="2" t="s">
        <v>1344</v>
      </c>
      <c r="C226" s="2">
        <v>19202100488</v>
      </c>
      <c r="D226" s="2">
        <v>63.39</v>
      </c>
      <c r="E226" s="723" t="s">
        <v>420</v>
      </c>
      <c r="F226" s="647"/>
      <c r="G226" s="647"/>
      <c r="H226" s="647"/>
    </row>
    <row r="227" spans="1:8" x14ac:dyDescent="0.25">
      <c r="A227" s="2" t="s">
        <v>1343</v>
      </c>
      <c r="B227" s="2" t="s">
        <v>1344</v>
      </c>
      <c r="C227" s="2">
        <v>19202100512</v>
      </c>
      <c r="D227" s="2">
        <v>63.14</v>
      </c>
      <c r="E227" s="723" t="s">
        <v>420</v>
      </c>
      <c r="F227" s="647"/>
      <c r="G227" s="647"/>
      <c r="H227" s="647"/>
    </row>
    <row r="228" spans="1:8" x14ac:dyDescent="0.25">
      <c r="A228" s="2" t="s">
        <v>1343</v>
      </c>
      <c r="B228" s="2" t="s">
        <v>1344</v>
      </c>
      <c r="C228" s="2">
        <v>19202100417</v>
      </c>
      <c r="D228" s="2">
        <v>62.6</v>
      </c>
      <c r="E228" s="723" t="s">
        <v>420</v>
      </c>
      <c r="F228" s="647"/>
      <c r="G228" s="647"/>
      <c r="H228" s="647"/>
    </row>
    <row r="229" spans="1:8" x14ac:dyDescent="0.25">
      <c r="A229" s="2" t="s">
        <v>1343</v>
      </c>
      <c r="B229" s="2" t="s">
        <v>1344</v>
      </c>
      <c r="C229" s="2">
        <v>19202100507</v>
      </c>
      <c r="D229" s="2">
        <v>61.81</v>
      </c>
      <c r="E229" s="723" t="s">
        <v>420</v>
      </c>
      <c r="F229" s="647"/>
      <c r="G229" s="647"/>
      <c r="H229" s="647"/>
    </row>
    <row r="230" spans="1:8" x14ac:dyDescent="0.25">
      <c r="A230" s="2" t="s">
        <v>1343</v>
      </c>
      <c r="B230" s="2" t="s">
        <v>1344</v>
      </c>
      <c r="C230" s="2">
        <v>19202100513</v>
      </c>
      <c r="D230" s="2">
        <v>60.04</v>
      </c>
      <c r="E230" s="723" t="s">
        <v>420</v>
      </c>
      <c r="F230" s="647"/>
      <c r="G230" s="647"/>
      <c r="H230" s="647"/>
    </row>
    <row r="231" spans="1:8" x14ac:dyDescent="0.25">
      <c r="A231" s="2" t="s">
        <v>1343</v>
      </c>
      <c r="B231" s="2" t="s">
        <v>1344</v>
      </c>
      <c r="C231" s="2">
        <v>19202100522</v>
      </c>
      <c r="D231" s="2">
        <v>57.38</v>
      </c>
      <c r="E231" s="723" t="s">
        <v>420</v>
      </c>
      <c r="F231" s="647"/>
      <c r="G231" s="647"/>
      <c r="H231" s="647"/>
    </row>
    <row r="232" spans="1:8" x14ac:dyDescent="0.25">
      <c r="A232" s="2" t="s">
        <v>1343</v>
      </c>
      <c r="B232" s="2" t="s">
        <v>1344</v>
      </c>
      <c r="C232" s="2">
        <v>19202100515</v>
      </c>
      <c r="D232" s="2">
        <v>55.81</v>
      </c>
      <c r="E232" s="723" t="s">
        <v>420</v>
      </c>
      <c r="F232" s="647"/>
      <c r="G232" s="647"/>
      <c r="H232" s="647"/>
    </row>
    <row r="233" spans="1:8" x14ac:dyDescent="0.25">
      <c r="A233" s="2" t="s">
        <v>1343</v>
      </c>
      <c r="B233" s="2" t="s">
        <v>1344</v>
      </c>
      <c r="C233" s="2">
        <v>19202100505</v>
      </c>
      <c r="D233" s="2">
        <v>55.69</v>
      </c>
      <c r="E233" s="723" t="s">
        <v>420</v>
      </c>
      <c r="F233" s="647"/>
      <c r="G233" s="647"/>
      <c r="H233" s="647"/>
    </row>
    <row r="234" spans="1:8" x14ac:dyDescent="0.25">
      <c r="A234" s="2" t="s">
        <v>1343</v>
      </c>
      <c r="B234" s="2" t="s">
        <v>1344</v>
      </c>
      <c r="C234" s="2">
        <v>19202100516</v>
      </c>
      <c r="D234" s="2">
        <v>53.94</v>
      </c>
      <c r="E234" s="723" t="s">
        <v>420</v>
      </c>
      <c r="F234" s="647"/>
      <c r="G234" s="647"/>
      <c r="H234" s="647"/>
    </row>
    <row r="235" spans="1:8" x14ac:dyDescent="0.25">
      <c r="A235" s="2" t="s">
        <v>1343</v>
      </c>
      <c r="B235" s="2" t="s">
        <v>1344</v>
      </c>
      <c r="C235" s="2">
        <v>19202100423</v>
      </c>
      <c r="D235" s="2">
        <v>51.92</v>
      </c>
      <c r="E235" s="723" t="s">
        <v>420</v>
      </c>
      <c r="F235" s="647"/>
      <c r="G235" s="647"/>
      <c r="H235" s="647"/>
    </row>
    <row r="236" spans="1:8" x14ac:dyDescent="0.25">
      <c r="A236" s="2" t="s">
        <v>1343</v>
      </c>
      <c r="B236" s="2" t="s">
        <v>1344</v>
      </c>
      <c r="C236" s="2">
        <v>19202100502</v>
      </c>
      <c r="D236" s="2">
        <v>47.73</v>
      </c>
      <c r="E236" s="723" t="s">
        <v>420</v>
      </c>
      <c r="F236" s="647"/>
      <c r="G236" s="647"/>
      <c r="H236" s="647"/>
    </row>
    <row r="237" spans="1:8" x14ac:dyDescent="0.25">
      <c r="A237" s="2" t="s">
        <v>1343</v>
      </c>
      <c r="B237" s="2" t="s">
        <v>1344</v>
      </c>
      <c r="C237" s="2">
        <v>19202100517</v>
      </c>
      <c r="D237" s="2">
        <v>39.17</v>
      </c>
      <c r="E237" s="723" t="s">
        <v>420</v>
      </c>
      <c r="F237" s="647"/>
      <c r="G237" s="647"/>
      <c r="H237" s="647"/>
    </row>
    <row r="238" spans="1:8" x14ac:dyDescent="0.25">
      <c r="A238" s="2" t="s">
        <v>1343</v>
      </c>
      <c r="B238" s="2" t="s">
        <v>1348</v>
      </c>
      <c r="C238" s="2">
        <v>19202100501</v>
      </c>
      <c r="D238" s="2">
        <v>62.37</v>
      </c>
      <c r="E238" s="720" t="s">
        <v>419</v>
      </c>
      <c r="F238" s="647"/>
      <c r="G238" s="647"/>
    </row>
    <row r="239" spans="1:8" x14ac:dyDescent="0.25">
      <c r="A239" s="2" t="s">
        <v>1343</v>
      </c>
      <c r="B239" s="2" t="s">
        <v>1348</v>
      </c>
      <c r="C239" s="2">
        <v>19202100504</v>
      </c>
      <c r="D239" s="2">
        <v>55.7</v>
      </c>
      <c r="E239" s="720" t="s">
        <v>419</v>
      </c>
      <c r="F239" s="647"/>
      <c r="G239" s="647"/>
    </row>
    <row r="240" spans="1:8" x14ac:dyDescent="0.25">
      <c r="A240" s="2" t="s">
        <v>1343</v>
      </c>
      <c r="B240" s="2" t="s">
        <v>1348</v>
      </c>
      <c r="C240" s="2">
        <v>19202100518</v>
      </c>
      <c r="D240" s="2">
        <v>53.38</v>
      </c>
      <c r="E240" s="720" t="s">
        <v>419</v>
      </c>
      <c r="F240" s="647"/>
      <c r="G240" s="647"/>
    </row>
    <row r="241" spans="1:7" x14ac:dyDescent="0.25">
      <c r="A241" s="2" t="s">
        <v>1343</v>
      </c>
      <c r="B241" s="2" t="s">
        <v>1348</v>
      </c>
      <c r="C241" s="2">
        <v>19202100514</v>
      </c>
      <c r="D241" s="2">
        <v>53.27</v>
      </c>
      <c r="E241" s="723" t="s">
        <v>420</v>
      </c>
      <c r="F241" s="647"/>
      <c r="G241" s="647"/>
    </row>
    <row r="242" spans="1:7" x14ac:dyDescent="0.25">
      <c r="A242" s="2" t="s">
        <v>1343</v>
      </c>
      <c r="B242" s="2" t="s">
        <v>1348</v>
      </c>
      <c r="C242" s="2">
        <v>19202100509</v>
      </c>
      <c r="D242" s="2">
        <v>51.04</v>
      </c>
      <c r="E242" s="720" t="s">
        <v>419</v>
      </c>
      <c r="F242" s="647"/>
      <c r="G242" s="647"/>
    </row>
    <row r="243" spans="1:7" x14ac:dyDescent="0.25">
      <c r="A243" s="2" t="s">
        <v>1343</v>
      </c>
      <c r="B243" s="2" t="s">
        <v>1348</v>
      </c>
      <c r="C243" s="2">
        <v>19202100489</v>
      </c>
      <c r="D243" s="2">
        <v>49.59</v>
      </c>
      <c r="E243" s="723" t="s">
        <v>420</v>
      </c>
      <c r="F243" s="647"/>
      <c r="G243" s="647"/>
    </row>
    <row r="244" spans="1:7" x14ac:dyDescent="0.25">
      <c r="A244" s="2" t="s">
        <v>1343</v>
      </c>
      <c r="B244" s="2" t="s">
        <v>1348</v>
      </c>
      <c r="C244" s="2">
        <v>19202100519</v>
      </c>
      <c r="D244" s="2">
        <v>48.26</v>
      </c>
      <c r="E244" s="723" t="s">
        <v>420</v>
      </c>
      <c r="F244" s="647"/>
      <c r="G244" s="647"/>
    </row>
    <row r="245" spans="1:7" x14ac:dyDescent="0.25">
      <c r="A245" s="843" t="s">
        <v>1551</v>
      </c>
      <c r="B245" s="843" t="s">
        <v>1552</v>
      </c>
      <c r="C245" s="843">
        <v>19202200445</v>
      </c>
      <c r="D245" s="843">
        <v>63.61</v>
      </c>
      <c r="E245" s="720" t="s">
        <v>419</v>
      </c>
      <c r="F245" s="829"/>
      <c r="G245" s="829"/>
    </row>
    <row r="246" spans="1:7" x14ac:dyDescent="0.25">
      <c r="A246" s="843" t="s">
        <v>1551</v>
      </c>
      <c r="B246" s="843" t="s">
        <v>1552</v>
      </c>
      <c r="C246" s="843">
        <v>19202200443</v>
      </c>
      <c r="D246" s="843">
        <v>59.47</v>
      </c>
      <c r="E246" s="720" t="s">
        <v>419</v>
      </c>
      <c r="F246" s="829"/>
      <c r="G246" s="829"/>
    </row>
    <row r="247" spans="1:7" x14ac:dyDescent="0.25">
      <c r="A247" s="843" t="s">
        <v>1551</v>
      </c>
      <c r="B247" s="843" t="s">
        <v>1552</v>
      </c>
      <c r="C247" s="843">
        <v>19202200444</v>
      </c>
      <c r="D247" s="843">
        <v>53.34</v>
      </c>
      <c r="E247" s="720" t="s">
        <v>419</v>
      </c>
      <c r="F247" s="829"/>
      <c r="G247" s="829"/>
    </row>
    <row r="248" spans="1:7" x14ac:dyDescent="0.25">
      <c r="A248" s="843" t="s">
        <v>1551</v>
      </c>
      <c r="B248" s="843" t="s">
        <v>1552</v>
      </c>
      <c r="C248" s="843">
        <v>19202200419</v>
      </c>
      <c r="D248" s="843">
        <v>53.2</v>
      </c>
      <c r="E248" s="720" t="s">
        <v>419</v>
      </c>
      <c r="F248" s="829"/>
      <c r="G248" s="829"/>
    </row>
    <row r="249" spans="1:7" x14ac:dyDescent="0.25">
      <c r="A249" s="843" t="s">
        <v>1551</v>
      </c>
      <c r="B249" s="843" t="s">
        <v>1552</v>
      </c>
      <c r="C249" s="843">
        <v>19202200438</v>
      </c>
      <c r="D249" s="843">
        <v>52.91</v>
      </c>
      <c r="E249" s="723" t="s">
        <v>420</v>
      </c>
      <c r="F249" s="829"/>
      <c r="G249" s="829"/>
    </row>
    <row r="250" spans="1:7" x14ac:dyDescent="0.25">
      <c r="A250" s="843" t="s">
        <v>1551</v>
      </c>
      <c r="B250" s="843" t="s">
        <v>1552</v>
      </c>
      <c r="C250" s="843">
        <v>19202200439</v>
      </c>
      <c r="D250" s="843">
        <v>50.64</v>
      </c>
      <c r="E250" s="720" t="s">
        <v>419</v>
      </c>
      <c r="F250" s="829"/>
      <c r="G250" s="829"/>
    </row>
    <row r="251" spans="1:7" x14ac:dyDescent="0.25">
      <c r="A251" s="843" t="s">
        <v>1551</v>
      </c>
      <c r="B251" s="843" t="s">
        <v>1552</v>
      </c>
      <c r="C251" s="843">
        <v>19202200448</v>
      </c>
      <c r="D251" s="843">
        <v>50.07</v>
      </c>
      <c r="E251" s="723" t="s">
        <v>420</v>
      </c>
      <c r="F251" s="829"/>
      <c r="G251" s="829"/>
    </row>
    <row r="252" spans="1:7" x14ac:dyDescent="0.25">
      <c r="A252" s="843" t="s">
        <v>1551</v>
      </c>
      <c r="B252" s="843" t="s">
        <v>1552</v>
      </c>
      <c r="C252" s="843">
        <v>19202200447</v>
      </c>
      <c r="D252" s="843">
        <v>50.04</v>
      </c>
      <c r="E252" s="723" t="s">
        <v>420</v>
      </c>
      <c r="F252" s="829"/>
      <c r="G252" s="829"/>
    </row>
    <row r="253" spans="1:7" x14ac:dyDescent="0.25">
      <c r="A253" s="843" t="s">
        <v>1551</v>
      </c>
      <c r="B253" s="843" t="s">
        <v>1552</v>
      </c>
      <c r="C253" s="843">
        <v>19202200440</v>
      </c>
      <c r="D253" s="843">
        <v>45.33</v>
      </c>
      <c r="E253" s="723" t="s">
        <v>420</v>
      </c>
      <c r="F253" s="829"/>
      <c r="G253" s="829"/>
    </row>
    <row r="254" spans="1:7" x14ac:dyDescent="0.25">
      <c r="A254" s="843" t="s">
        <v>1551</v>
      </c>
      <c r="B254" s="843" t="s">
        <v>1552</v>
      </c>
      <c r="C254" s="843">
        <v>19202200434</v>
      </c>
      <c r="D254" s="843">
        <v>44.32</v>
      </c>
      <c r="E254" s="723" t="s">
        <v>420</v>
      </c>
      <c r="F254" s="829"/>
      <c r="G254" s="829"/>
    </row>
    <row r="255" spans="1:7" x14ac:dyDescent="0.25">
      <c r="A255" s="843" t="s">
        <v>1551</v>
      </c>
      <c r="B255" s="843" t="s">
        <v>1552</v>
      </c>
      <c r="C255" s="843">
        <v>19202200425</v>
      </c>
      <c r="D255" s="843">
        <v>43.91</v>
      </c>
      <c r="E255" s="723" t="s">
        <v>420</v>
      </c>
      <c r="F255" s="829"/>
      <c r="G255" s="829"/>
    </row>
    <row r="256" spans="1:7" x14ac:dyDescent="0.25">
      <c r="A256" s="843" t="s">
        <v>1551</v>
      </c>
      <c r="B256" s="843" t="s">
        <v>1318</v>
      </c>
      <c r="C256" s="843">
        <v>19202200437</v>
      </c>
      <c r="D256" s="843">
        <v>49.42</v>
      </c>
      <c r="E256" s="720" t="s">
        <v>419</v>
      </c>
      <c r="F256" s="829"/>
      <c r="G256" s="829"/>
    </row>
    <row r="257" spans="1:7" x14ac:dyDescent="0.25">
      <c r="A257" s="843" t="s">
        <v>1551</v>
      </c>
      <c r="B257" s="843" t="s">
        <v>1318</v>
      </c>
      <c r="C257" s="843">
        <v>19202200446</v>
      </c>
      <c r="D257" s="843">
        <v>45.27</v>
      </c>
      <c r="E257" s="720" t="s">
        <v>419</v>
      </c>
      <c r="F257" s="829"/>
      <c r="G257" s="829"/>
    </row>
    <row r="258" spans="1:7" x14ac:dyDescent="0.25">
      <c r="A258" s="843" t="s">
        <v>1551</v>
      </c>
      <c r="B258" s="843" t="s">
        <v>1318</v>
      </c>
      <c r="C258" s="843">
        <v>19202200409</v>
      </c>
      <c r="D258" s="843">
        <v>44.66</v>
      </c>
      <c r="E258" s="720" t="s">
        <v>419</v>
      </c>
      <c r="F258" s="829"/>
      <c r="G258" s="829"/>
    </row>
    <row r="259" spans="1:7" x14ac:dyDescent="0.25">
      <c r="A259" s="843" t="s">
        <v>1551</v>
      </c>
      <c r="B259" s="843" t="s">
        <v>1318</v>
      </c>
      <c r="C259" s="843">
        <v>19202200441</v>
      </c>
      <c r="D259" s="843">
        <v>44.17</v>
      </c>
      <c r="E259" s="720" t="s">
        <v>419</v>
      </c>
      <c r="F259" s="829"/>
      <c r="G259" s="829"/>
    </row>
    <row r="260" spans="1:7" x14ac:dyDescent="0.25">
      <c r="A260" s="843" t="s">
        <v>1551</v>
      </c>
      <c r="B260" s="843" t="s">
        <v>1318</v>
      </c>
      <c r="C260" s="843">
        <v>19202200435</v>
      </c>
      <c r="D260" s="843">
        <v>43.92</v>
      </c>
      <c r="E260" s="720" t="s">
        <v>419</v>
      </c>
      <c r="F260" s="829"/>
      <c r="G260" s="829"/>
    </row>
    <row r="261" spans="1:7" x14ac:dyDescent="0.25">
      <c r="A261" s="843" t="s">
        <v>1551</v>
      </c>
      <c r="B261" s="843" t="s">
        <v>1318</v>
      </c>
      <c r="C261" s="843">
        <v>19202200423</v>
      </c>
      <c r="D261" s="843">
        <v>36.78</v>
      </c>
      <c r="E261" s="723" t="s">
        <v>420</v>
      </c>
      <c r="F261" s="829"/>
      <c r="G261" s="829"/>
    </row>
    <row r="262" spans="1:7" x14ac:dyDescent="0.25">
      <c r="A262" s="843" t="s">
        <v>1551</v>
      </c>
      <c r="B262" s="843" t="s">
        <v>1318</v>
      </c>
      <c r="C262" s="843">
        <v>19202200436</v>
      </c>
      <c r="D262" s="843">
        <v>36.159999999999997</v>
      </c>
      <c r="E262" s="723" t="s">
        <v>420</v>
      </c>
      <c r="F262" s="829"/>
      <c r="G262" s="829"/>
    </row>
  </sheetData>
  <mergeCells count="1">
    <mergeCell ref="A1:E1"/>
  </mergeCells>
  <hyperlinks>
    <hyperlink ref="C150" r:id="rId1" location="/router?komponent=taotlus&amp;id=741349&amp;kuva=ava" display="https://pms.arib.pria.ee/pms-menetlus/ - /router?komponent=taotlus&amp;id=741349&amp;kuva=ava"/>
    <hyperlink ref="C151" r:id="rId2" location="/router?komponent=taotlus&amp;id=747548&amp;kuva=ava" display="https://pms.arib.pria.ee/pms-menetlus/ - /router?komponent=taotlus&amp;id=747548&amp;kuva=ava"/>
    <hyperlink ref="C152" r:id="rId3" location="/router?komponent=taotlus&amp;id=747570&amp;kuva=ava" display="https://pms.arib.pria.ee/pms-menetlus/ - /router?komponent=taotlus&amp;id=747570&amp;kuva=ava"/>
    <hyperlink ref="C153" r:id="rId4" location="/router?komponent=taotlus&amp;id=750899&amp;kuva=ava" display="https://pms.arib.pria.ee/pms-menetlus/ - /router?komponent=taotlus&amp;id=750899&amp;kuva=ava"/>
    <hyperlink ref="C154" r:id="rId5" location="/router?komponent=taotlus&amp;id=741352&amp;kuva=ava" display="https://pms.arib.pria.ee/pms-menetlus/ - /router?komponent=taotlus&amp;id=741352&amp;kuva=ava"/>
    <hyperlink ref="C155" r:id="rId6" location="/router?komponent=taotlus&amp;id=745087&amp;kuva=ava" display="https://pms.arib.pria.ee/pms-menetlus/ - /router?komponent=taotlus&amp;id=745087&amp;kuva=ava"/>
    <hyperlink ref="C156" r:id="rId7" location="/router?komponent=taotlus&amp;id=742197&amp;kuva=ava" display="https://pms.arib.pria.ee/pms-menetlus/ - /router?komponent=taotlus&amp;id=742197&amp;kuva=ava"/>
    <hyperlink ref="C157" r:id="rId8" location="/router?komponent=taotlus&amp;id=745106&amp;kuva=ava" display="https://pms.arib.pria.ee/pms-menetlus/ - /router?komponent=taotlus&amp;id=745106&amp;kuva=ava"/>
    <hyperlink ref="C158" r:id="rId9" location="/router?komponent=taotlus&amp;id=741189&amp;kuva=ava" display="https://pms.arib.pria.ee/pms-menetlus/ - /router?komponent=taotlus&amp;id=741189&amp;kuva=ava"/>
    <hyperlink ref="C159" r:id="rId10" location="/router?komponent=taotlus&amp;id=749452&amp;kuva=ava" display="https://pms.arib.pria.ee/pms-menetlus/ - /router?komponent=taotlus&amp;id=749452&amp;kuva=ava"/>
    <hyperlink ref="C160" r:id="rId11" location="/router?komponent=taotlus&amp;id=740572&amp;kuva=ava" display="https://pms.arib.pria.ee/pms-menetlus/ - /router?komponent=taotlus&amp;id=740572&amp;kuva=ava"/>
    <hyperlink ref="C161" r:id="rId12" location="/router?komponent=taotlus&amp;id=742219&amp;kuva=ava" display="https://pms.arib.pria.ee/pms-menetlus/ - /router?komponent=taotlus&amp;id=742219&amp;kuva=ava"/>
    <hyperlink ref="C162" r:id="rId13" location="/router?komponent=taotlus&amp;id=748319&amp;kuva=ava" display="https://pms.arib.pria.ee/pms-menetlus/ - /router?komponent=taotlus&amp;id=748319&amp;kuva=ava"/>
    <hyperlink ref="C163" r:id="rId14" location="/router?komponent=taotlus&amp;id=744450&amp;kuva=ava" display="https://pms.arib.pria.ee/pms-menetlus/ - /router?komponent=taotlus&amp;id=744450&amp;kuva=ava"/>
    <hyperlink ref="C164" r:id="rId15" location="/router?komponent=taotlus&amp;id=742821&amp;kuva=ava" display="/router?komponent=taotlus&amp;id=742821&amp;kuva=ava"/>
    <hyperlink ref="C165" r:id="rId16" location="/router?komponent=taotlus&amp;id=747051&amp;kuva=ava" display="https://pms.arib.pria.ee/pms-menetlus/ - /router?komponent=taotlus&amp;id=747051&amp;kuva=ava"/>
    <hyperlink ref="C166" r:id="rId17" location="/router?komponent=taotlus&amp;id=746947&amp;kuva=ava" display="https://pms.arib.pria.ee/pms-menetlus/ - /router?komponent=taotlus&amp;id=746947&amp;kuva=ava"/>
    <hyperlink ref="C167" r:id="rId18" location="/router?komponent=taotlus&amp;id=738913&amp;kuva=ava" display="https://pms.arib.pria.ee/pms-menetlus/ - /router?komponent=taotlus&amp;id=738913&amp;kuva=ava"/>
    <hyperlink ref="C168" r:id="rId19" location="/router?komponent=taotlus&amp;id=748507&amp;kuva=ava" display="https://pms.arib.pria.ee/pms-menetlus/ - /router?komponent=taotlus&amp;id=748507&amp;kuva=ava"/>
    <hyperlink ref="C169" r:id="rId20" location="/router?komponent=taotlus&amp;id=747961&amp;kuva=ava" display="https://pms.arib.pria.ee/pms-menetlus/ - /router?komponent=taotlus&amp;id=747961&amp;kuva=ava"/>
    <hyperlink ref="C170" r:id="rId21" location="/router?komponent=taotlus&amp;id=745113&amp;kuva=ava" display="https://pms.arib.pria.ee/pms-menetlus/ - /router?komponent=taotlus&amp;id=745113&amp;kuva=ava"/>
    <hyperlink ref="C171" r:id="rId22" location="/router?komponent=taotlus&amp;id=748259&amp;kuva=ava" display="https://pms.arib.pria.ee/pms-menetlus/ - /router?komponent=taotlus&amp;id=748259&amp;kuva=ava"/>
  </hyperlinks>
  <pageMargins left="0.7" right="0.7" top="0.75" bottom="0.75" header="0.3" footer="0.3"/>
  <pageSetup paperSize="9" orientation="portrait" r:id="rId23"/>
  <ignoredErrors>
    <ignoredError sqref="C4 C5:C54 C55:C6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"/>
  <sheetViews>
    <sheetView zoomScaleNormal="100" workbookViewId="0">
      <pane ySplit="2" topLeftCell="A314" activePane="bottomLeft" state="frozen"/>
      <selection pane="bottomLeft" activeCell="B321" sqref="B321"/>
    </sheetView>
  </sheetViews>
  <sheetFormatPr defaultRowHeight="15" x14ac:dyDescent="0.25"/>
  <cols>
    <col min="1" max="1" width="21.140625" bestFit="1" customWidth="1"/>
    <col min="2" max="2" width="50.140625" customWidth="1"/>
    <col min="3" max="3" width="20.140625" customWidth="1"/>
    <col min="4" max="4" width="15.85546875" customWidth="1"/>
    <col min="5" max="5" width="14.42578125" customWidth="1"/>
  </cols>
  <sheetData>
    <row r="1" spans="1:5" ht="15.75" x14ac:dyDescent="0.25">
      <c r="A1" s="864" t="s">
        <v>30</v>
      </c>
      <c r="B1" s="864"/>
      <c r="C1" s="864"/>
      <c r="D1" s="864"/>
      <c r="E1" s="864"/>
    </row>
    <row r="2" spans="1:5" ht="15.75" thickBot="1" x14ac:dyDescent="0.3">
      <c r="A2" s="108" t="s">
        <v>6</v>
      </c>
      <c r="B2" s="109" t="s">
        <v>2</v>
      </c>
      <c r="C2" s="110" t="s">
        <v>0</v>
      </c>
      <c r="D2" s="108" t="s">
        <v>1</v>
      </c>
      <c r="E2" s="108" t="s">
        <v>464</v>
      </c>
    </row>
    <row r="3" spans="1:5" x14ac:dyDescent="0.25">
      <c r="A3" s="47" t="s">
        <v>467</v>
      </c>
      <c r="B3" s="65" t="s">
        <v>468</v>
      </c>
      <c r="C3" s="65" t="str">
        <f>"619216670949"</f>
        <v>619216670949</v>
      </c>
      <c r="D3" s="65">
        <v>15.82</v>
      </c>
      <c r="E3" s="39" t="s">
        <v>419</v>
      </c>
    </row>
    <row r="4" spans="1:5" x14ac:dyDescent="0.25">
      <c r="A4" s="50" t="s">
        <v>467</v>
      </c>
      <c r="B4" s="27" t="s">
        <v>468</v>
      </c>
      <c r="C4" s="27" t="str">
        <f>"619216670964"</f>
        <v>619216670964</v>
      </c>
      <c r="D4" s="27">
        <v>15.55</v>
      </c>
      <c r="E4" s="41" t="s">
        <v>419</v>
      </c>
    </row>
    <row r="5" spans="1:5" x14ac:dyDescent="0.25">
      <c r="A5" s="50" t="s">
        <v>467</v>
      </c>
      <c r="B5" s="27" t="s">
        <v>468</v>
      </c>
      <c r="C5" s="27" t="str">
        <f>"619216670951"</f>
        <v>619216670951</v>
      </c>
      <c r="D5" s="27">
        <v>15.18</v>
      </c>
      <c r="E5" s="41" t="s">
        <v>419</v>
      </c>
    </row>
    <row r="6" spans="1:5" x14ac:dyDescent="0.25">
      <c r="A6" s="143" t="s">
        <v>467</v>
      </c>
      <c r="B6" s="2" t="s">
        <v>468</v>
      </c>
      <c r="C6" s="2" t="str">
        <f>"619216840924"</f>
        <v>619216840924</v>
      </c>
      <c r="D6" s="27">
        <v>13.73</v>
      </c>
      <c r="E6" s="66" t="s">
        <v>420</v>
      </c>
    </row>
    <row r="7" spans="1:5" x14ac:dyDescent="0.25">
      <c r="A7" s="143" t="s">
        <v>467</v>
      </c>
      <c r="B7" s="2" t="s">
        <v>468</v>
      </c>
      <c r="C7" s="2" t="str">
        <f>"619216670915"</f>
        <v>619216670915</v>
      </c>
      <c r="D7" s="27">
        <v>13.45</v>
      </c>
      <c r="E7" s="66" t="s">
        <v>420</v>
      </c>
    </row>
    <row r="8" spans="1:5" x14ac:dyDescent="0.25">
      <c r="A8" s="143" t="s">
        <v>467</v>
      </c>
      <c r="B8" s="2" t="s">
        <v>468</v>
      </c>
      <c r="C8" s="2" t="str">
        <f>"619216670938"</f>
        <v>619216670938</v>
      </c>
      <c r="D8" s="27">
        <v>12.82</v>
      </c>
      <c r="E8" s="66" t="s">
        <v>420</v>
      </c>
    </row>
    <row r="9" spans="1:5" x14ac:dyDescent="0.25">
      <c r="A9" s="143" t="s">
        <v>467</v>
      </c>
      <c r="B9" s="2" t="s">
        <v>468</v>
      </c>
      <c r="C9" s="2" t="str">
        <f>"619216670913"</f>
        <v>619216670913</v>
      </c>
      <c r="D9" s="27">
        <v>12.64</v>
      </c>
      <c r="E9" s="66" t="s">
        <v>420</v>
      </c>
    </row>
    <row r="10" spans="1:5" x14ac:dyDescent="0.25">
      <c r="A10" s="143" t="s">
        <v>467</v>
      </c>
      <c r="B10" s="2" t="s">
        <v>468</v>
      </c>
      <c r="C10" s="2" t="str">
        <f>"619216670963"</f>
        <v>619216670963</v>
      </c>
      <c r="D10" s="27">
        <v>12.64</v>
      </c>
      <c r="E10" s="66" t="s">
        <v>420</v>
      </c>
    </row>
    <row r="11" spans="1:5" x14ac:dyDescent="0.25">
      <c r="A11" s="143" t="s">
        <v>467</v>
      </c>
      <c r="B11" s="2" t="s">
        <v>468</v>
      </c>
      <c r="C11" s="2" t="str">
        <f>"619216670946"</f>
        <v>619216670946</v>
      </c>
      <c r="D11" s="27">
        <v>12.27</v>
      </c>
      <c r="E11" s="66" t="s">
        <v>420</v>
      </c>
    </row>
    <row r="12" spans="1:5" x14ac:dyDescent="0.25">
      <c r="A12" s="143" t="s">
        <v>467</v>
      </c>
      <c r="B12" s="2" t="s">
        <v>468</v>
      </c>
      <c r="C12" s="2" t="str">
        <f>"619216670957"</f>
        <v>619216670957</v>
      </c>
      <c r="D12" s="27">
        <v>11</v>
      </c>
      <c r="E12" s="66" t="s">
        <v>420</v>
      </c>
    </row>
    <row r="13" spans="1:5" x14ac:dyDescent="0.25">
      <c r="A13" s="143" t="s">
        <v>467</v>
      </c>
      <c r="B13" s="2" t="s">
        <v>468</v>
      </c>
      <c r="C13" s="2" t="str">
        <f>"619216840959"</f>
        <v>619216840959</v>
      </c>
      <c r="D13" s="27">
        <v>10.91</v>
      </c>
      <c r="E13" s="66" t="s">
        <v>420</v>
      </c>
    </row>
    <row r="14" spans="1:5" x14ac:dyDescent="0.25">
      <c r="A14" s="143" t="s">
        <v>467</v>
      </c>
      <c r="B14" s="2" t="s">
        <v>468</v>
      </c>
      <c r="C14" s="2" t="str">
        <f>"619216840920"</f>
        <v>619216840920</v>
      </c>
      <c r="D14" s="27">
        <v>10.36</v>
      </c>
      <c r="E14" s="66" t="s">
        <v>420</v>
      </c>
    </row>
    <row r="15" spans="1:5" x14ac:dyDescent="0.25">
      <c r="A15" s="143" t="s">
        <v>467</v>
      </c>
      <c r="B15" s="2" t="s">
        <v>468</v>
      </c>
      <c r="C15" s="2" t="str">
        <f>"619216670928"</f>
        <v>619216670928</v>
      </c>
      <c r="D15" s="27">
        <v>10.27</v>
      </c>
      <c r="E15" s="66" t="s">
        <v>420</v>
      </c>
    </row>
    <row r="16" spans="1:5" x14ac:dyDescent="0.25">
      <c r="A16" s="143" t="s">
        <v>467</v>
      </c>
      <c r="B16" s="2" t="s">
        <v>468</v>
      </c>
      <c r="C16" s="2" t="str">
        <f>"619216670930"</f>
        <v>619216670930</v>
      </c>
      <c r="D16" s="27">
        <v>9.5500000000000007</v>
      </c>
      <c r="E16" s="66" t="s">
        <v>420</v>
      </c>
    </row>
    <row r="17" spans="1:5" x14ac:dyDescent="0.25">
      <c r="A17" s="143" t="s">
        <v>467</v>
      </c>
      <c r="B17" s="2" t="s">
        <v>468</v>
      </c>
      <c r="C17" s="2" t="str">
        <f>"619216670940"</f>
        <v>619216670940</v>
      </c>
      <c r="D17" s="27">
        <v>8.82</v>
      </c>
      <c r="E17" s="66" t="s">
        <v>420</v>
      </c>
    </row>
    <row r="18" spans="1:5" x14ac:dyDescent="0.25">
      <c r="A18" s="143" t="s">
        <v>467</v>
      </c>
      <c r="B18" s="2" t="s">
        <v>468</v>
      </c>
      <c r="C18" s="2" t="str">
        <f>"619216840912"</f>
        <v>619216840912</v>
      </c>
      <c r="D18" s="27">
        <v>8.82</v>
      </c>
      <c r="E18" s="66" t="s">
        <v>420</v>
      </c>
    </row>
    <row r="19" spans="1:5" ht="15.75" thickBot="1" x14ac:dyDescent="0.3">
      <c r="A19" s="144" t="s">
        <v>467</v>
      </c>
      <c r="B19" s="51" t="s">
        <v>468</v>
      </c>
      <c r="C19" s="51" t="str">
        <f>"619216370911"</f>
        <v>619216370911</v>
      </c>
      <c r="D19" s="63">
        <v>8.09</v>
      </c>
      <c r="E19" s="46" t="s">
        <v>420</v>
      </c>
    </row>
    <row r="20" spans="1:5" x14ac:dyDescent="0.25">
      <c r="A20" s="47" t="s">
        <v>467</v>
      </c>
      <c r="B20" s="49" t="s">
        <v>469</v>
      </c>
      <c r="C20" s="49" t="str">
        <f>"619216840961"</f>
        <v>619216840961</v>
      </c>
      <c r="D20" s="38">
        <v>17</v>
      </c>
      <c r="E20" s="39" t="s">
        <v>419</v>
      </c>
    </row>
    <row r="21" spans="1:5" x14ac:dyDescent="0.25">
      <c r="A21" s="50" t="s">
        <v>467</v>
      </c>
      <c r="B21" s="2" t="s">
        <v>469</v>
      </c>
      <c r="C21" s="2" t="str">
        <f>"619216840945"</f>
        <v>619216840945</v>
      </c>
      <c r="D21" s="9">
        <v>17</v>
      </c>
      <c r="E21" s="41" t="s">
        <v>419</v>
      </c>
    </row>
    <row r="22" spans="1:5" x14ac:dyDescent="0.25">
      <c r="A22" s="50" t="s">
        <v>467</v>
      </c>
      <c r="B22" s="2" t="s">
        <v>469</v>
      </c>
      <c r="C22" s="2" t="str">
        <f>"619216670947"</f>
        <v>619216670947</v>
      </c>
      <c r="D22" s="9">
        <v>15.67</v>
      </c>
      <c r="E22" s="41" t="s">
        <v>419</v>
      </c>
    </row>
    <row r="23" spans="1:5" x14ac:dyDescent="0.25">
      <c r="A23" s="50" t="s">
        <v>467</v>
      </c>
      <c r="B23" s="2" t="s">
        <v>469</v>
      </c>
      <c r="C23" s="2" t="str">
        <f>"619216840955"</f>
        <v>619216840955</v>
      </c>
      <c r="D23" s="9">
        <v>15</v>
      </c>
      <c r="E23" s="41" t="s">
        <v>419</v>
      </c>
    </row>
    <row r="24" spans="1:5" x14ac:dyDescent="0.25">
      <c r="A24" s="50" t="s">
        <v>467</v>
      </c>
      <c r="B24" s="2" t="s">
        <v>469</v>
      </c>
      <c r="C24" s="2" t="str">
        <f>"619216670950"</f>
        <v>619216670950</v>
      </c>
      <c r="D24" s="15">
        <v>15</v>
      </c>
      <c r="E24" s="41" t="s">
        <v>419</v>
      </c>
    </row>
    <row r="25" spans="1:5" x14ac:dyDescent="0.25">
      <c r="A25" s="50" t="s">
        <v>467</v>
      </c>
      <c r="B25" s="2" t="s">
        <v>469</v>
      </c>
      <c r="C25" s="2" t="str">
        <f>"619216670953"</f>
        <v>619216670953</v>
      </c>
      <c r="D25" s="15">
        <v>14.33</v>
      </c>
      <c r="E25" s="41" t="s">
        <v>419</v>
      </c>
    </row>
    <row r="26" spans="1:5" x14ac:dyDescent="0.25">
      <c r="A26" s="50" t="s">
        <v>467</v>
      </c>
      <c r="B26" s="2" t="s">
        <v>469</v>
      </c>
      <c r="C26" s="2" t="str">
        <f>"619216670948"</f>
        <v>619216670948</v>
      </c>
      <c r="D26" s="15">
        <v>14.33</v>
      </c>
      <c r="E26" s="41" t="s">
        <v>419</v>
      </c>
    </row>
    <row r="27" spans="1:5" x14ac:dyDescent="0.25">
      <c r="A27" s="50" t="s">
        <v>467</v>
      </c>
      <c r="B27" s="2" t="s">
        <v>469</v>
      </c>
      <c r="C27" s="2" t="str">
        <f>"619216840941"</f>
        <v>619216840941</v>
      </c>
      <c r="D27" s="15">
        <v>14</v>
      </c>
      <c r="E27" s="41" t="s">
        <v>419</v>
      </c>
    </row>
    <row r="28" spans="1:5" x14ac:dyDescent="0.25">
      <c r="A28" s="50" t="s">
        <v>467</v>
      </c>
      <c r="B28" s="2" t="s">
        <v>469</v>
      </c>
      <c r="C28" s="2" t="str">
        <f>"619216670937"</f>
        <v>619216670937</v>
      </c>
      <c r="D28" s="15">
        <v>13.67</v>
      </c>
      <c r="E28" s="41" t="s">
        <v>419</v>
      </c>
    </row>
    <row r="29" spans="1:5" x14ac:dyDescent="0.25">
      <c r="A29" s="50" t="s">
        <v>467</v>
      </c>
      <c r="B29" s="2" t="s">
        <v>469</v>
      </c>
      <c r="C29" s="2" t="str">
        <f>"619216670932"</f>
        <v>619216670932</v>
      </c>
      <c r="D29" s="15">
        <v>13.33</v>
      </c>
      <c r="E29" s="41" t="s">
        <v>419</v>
      </c>
    </row>
    <row r="30" spans="1:5" x14ac:dyDescent="0.25">
      <c r="A30" s="50" t="s">
        <v>467</v>
      </c>
      <c r="B30" s="2" t="s">
        <v>469</v>
      </c>
      <c r="C30" s="2" t="str">
        <f>"619216670944"</f>
        <v>619216670944</v>
      </c>
      <c r="D30" s="15">
        <v>12.67</v>
      </c>
      <c r="E30" s="41" t="s">
        <v>419</v>
      </c>
    </row>
    <row r="31" spans="1:5" x14ac:dyDescent="0.25">
      <c r="A31" s="50" t="s">
        <v>467</v>
      </c>
      <c r="B31" s="2" t="s">
        <v>469</v>
      </c>
      <c r="C31" s="2" t="str">
        <f>"619216670925"</f>
        <v>619216670925</v>
      </c>
      <c r="D31" s="15">
        <v>12.67</v>
      </c>
      <c r="E31" s="41" t="s">
        <v>419</v>
      </c>
    </row>
    <row r="32" spans="1:5" x14ac:dyDescent="0.25">
      <c r="A32" s="50" t="s">
        <v>467</v>
      </c>
      <c r="B32" s="2" t="s">
        <v>469</v>
      </c>
      <c r="C32" s="2" t="str">
        <f>"619216670919"</f>
        <v>619216670919</v>
      </c>
      <c r="D32" s="15">
        <v>12.33</v>
      </c>
      <c r="E32" s="41" t="s">
        <v>419</v>
      </c>
    </row>
    <row r="33" spans="1:5" ht="15.75" thickBot="1" x14ac:dyDescent="0.3">
      <c r="A33" s="42" t="s">
        <v>467</v>
      </c>
      <c r="B33" s="51" t="s">
        <v>469</v>
      </c>
      <c r="C33" s="51" t="str">
        <f>"619216670914"</f>
        <v>619216670914</v>
      </c>
      <c r="D33" s="97">
        <v>11.33</v>
      </c>
      <c r="E33" s="87" t="s">
        <v>419</v>
      </c>
    </row>
    <row r="34" spans="1:5" x14ac:dyDescent="0.25">
      <c r="A34" s="47" t="s">
        <v>467</v>
      </c>
      <c r="B34" s="49" t="s">
        <v>470</v>
      </c>
      <c r="C34" s="36" t="str">
        <f>"619216670965"</f>
        <v>619216670965</v>
      </c>
      <c r="D34" s="49">
        <v>15.2</v>
      </c>
      <c r="E34" s="39" t="s">
        <v>419</v>
      </c>
    </row>
    <row r="35" spans="1:5" x14ac:dyDescent="0.25">
      <c r="A35" s="50" t="s">
        <v>467</v>
      </c>
      <c r="B35" s="2" t="s">
        <v>470</v>
      </c>
      <c r="C35" s="2" t="str">
        <f>"619216670923"</f>
        <v>619216670923</v>
      </c>
      <c r="D35" s="2">
        <v>14.9</v>
      </c>
      <c r="E35" s="41" t="s">
        <v>419</v>
      </c>
    </row>
    <row r="36" spans="1:5" x14ac:dyDescent="0.25">
      <c r="A36" s="50" t="s">
        <v>467</v>
      </c>
      <c r="B36" s="2" t="s">
        <v>470</v>
      </c>
      <c r="C36" s="2" t="str">
        <f>"619216670960"</f>
        <v>619216670960</v>
      </c>
      <c r="D36" s="2">
        <v>14.5</v>
      </c>
      <c r="E36" s="41" t="s">
        <v>419</v>
      </c>
    </row>
    <row r="37" spans="1:5" x14ac:dyDescent="0.25">
      <c r="A37" s="143" t="s">
        <v>467</v>
      </c>
      <c r="B37" s="2" t="s">
        <v>470</v>
      </c>
      <c r="C37" s="2" t="s">
        <v>500</v>
      </c>
      <c r="D37" s="2">
        <v>14.4</v>
      </c>
      <c r="E37" s="66" t="s">
        <v>420</v>
      </c>
    </row>
    <row r="38" spans="1:5" x14ac:dyDescent="0.25">
      <c r="A38" s="143" t="s">
        <v>467</v>
      </c>
      <c r="B38" s="2" t="s">
        <v>470</v>
      </c>
      <c r="C38" s="2" t="s">
        <v>497</v>
      </c>
      <c r="D38" s="2">
        <v>14.2</v>
      </c>
      <c r="E38" s="66" t="s">
        <v>420</v>
      </c>
    </row>
    <row r="39" spans="1:5" x14ac:dyDescent="0.25">
      <c r="A39" s="50" t="s">
        <v>467</v>
      </c>
      <c r="B39" s="2" t="s">
        <v>470</v>
      </c>
      <c r="C39" s="2" t="str">
        <f>"619216670958"</f>
        <v>619216670958</v>
      </c>
      <c r="D39" s="2">
        <v>14.1</v>
      </c>
      <c r="E39" s="66" t="s">
        <v>420</v>
      </c>
    </row>
    <row r="40" spans="1:5" x14ac:dyDescent="0.25">
      <c r="A40" s="143" t="s">
        <v>467</v>
      </c>
      <c r="B40" s="2" t="s">
        <v>470</v>
      </c>
      <c r="C40" s="2" t="s">
        <v>498</v>
      </c>
      <c r="D40" s="2">
        <v>14.1</v>
      </c>
      <c r="E40" s="66" t="s">
        <v>420</v>
      </c>
    </row>
    <row r="41" spans="1:5" x14ac:dyDescent="0.25">
      <c r="A41" s="143" t="s">
        <v>467</v>
      </c>
      <c r="B41" s="2" t="s">
        <v>470</v>
      </c>
      <c r="C41" s="2" t="str">
        <f>"619216670956"</f>
        <v>619216670956</v>
      </c>
      <c r="D41" s="2">
        <v>13.2</v>
      </c>
      <c r="E41" s="66" t="s">
        <v>420</v>
      </c>
    </row>
    <row r="42" spans="1:5" x14ac:dyDescent="0.25">
      <c r="A42" s="143" t="s">
        <v>467</v>
      </c>
      <c r="B42" s="2" t="s">
        <v>470</v>
      </c>
      <c r="C42" s="2" t="str">
        <f>"619216670922"</f>
        <v>619216670922</v>
      </c>
      <c r="D42" s="2">
        <v>12.7</v>
      </c>
      <c r="E42" s="66" t="s">
        <v>420</v>
      </c>
    </row>
    <row r="43" spans="1:5" x14ac:dyDescent="0.25">
      <c r="A43" s="143" t="s">
        <v>467</v>
      </c>
      <c r="B43" s="2" t="s">
        <v>470</v>
      </c>
      <c r="C43" s="2" t="str">
        <f>"619216670943"</f>
        <v>619216670943</v>
      </c>
      <c r="D43" s="2">
        <v>12.6</v>
      </c>
      <c r="E43" s="66" t="s">
        <v>420</v>
      </c>
    </row>
    <row r="44" spans="1:5" x14ac:dyDescent="0.25">
      <c r="A44" s="143" t="s">
        <v>467</v>
      </c>
      <c r="B44" s="2" t="s">
        <v>470</v>
      </c>
      <c r="C44" s="2" t="s">
        <v>499</v>
      </c>
      <c r="D44" s="2">
        <v>12.3</v>
      </c>
      <c r="E44" s="66" t="s">
        <v>420</v>
      </c>
    </row>
    <row r="45" spans="1:5" x14ac:dyDescent="0.25">
      <c r="A45" s="50" t="s">
        <v>467</v>
      </c>
      <c r="B45" s="2" t="s">
        <v>470</v>
      </c>
      <c r="C45" s="2" t="str">
        <f>"619216670933"</f>
        <v>619216670933</v>
      </c>
      <c r="D45" s="2">
        <v>11.6</v>
      </c>
      <c r="E45" s="66" t="s">
        <v>420</v>
      </c>
    </row>
    <row r="46" spans="1:5" x14ac:dyDescent="0.25">
      <c r="A46" s="143" t="s">
        <v>467</v>
      </c>
      <c r="B46" s="2" t="s">
        <v>470</v>
      </c>
      <c r="C46" s="2" t="str">
        <f>"619216670929"</f>
        <v>619216670929</v>
      </c>
      <c r="D46" s="2">
        <v>11.6</v>
      </c>
      <c r="E46" s="66" t="s">
        <v>420</v>
      </c>
    </row>
    <row r="47" spans="1:5" x14ac:dyDescent="0.25">
      <c r="A47" s="143" t="s">
        <v>467</v>
      </c>
      <c r="B47" s="2" t="s">
        <v>470</v>
      </c>
      <c r="C47" s="2" t="str">
        <f>"619216840952"</f>
        <v>619216840952</v>
      </c>
      <c r="D47" s="2">
        <v>11.5</v>
      </c>
      <c r="E47" s="66" t="s">
        <v>420</v>
      </c>
    </row>
    <row r="48" spans="1:5" x14ac:dyDescent="0.25">
      <c r="A48" s="143" t="s">
        <v>467</v>
      </c>
      <c r="B48" s="2" t="s">
        <v>470</v>
      </c>
      <c r="C48" s="2" t="str">
        <f>"619216670931"</f>
        <v>619216670931</v>
      </c>
      <c r="D48" s="2">
        <v>11.4</v>
      </c>
      <c r="E48" s="66" t="s">
        <v>420</v>
      </c>
    </row>
    <row r="49" spans="1:5" x14ac:dyDescent="0.25">
      <c r="A49" s="143" t="s">
        <v>467</v>
      </c>
      <c r="B49" s="2" t="s">
        <v>470</v>
      </c>
      <c r="C49" s="2" t="str">
        <f>"619216670939"</f>
        <v>619216670939</v>
      </c>
      <c r="D49" s="2">
        <v>11.3</v>
      </c>
      <c r="E49" s="66" t="s">
        <v>420</v>
      </c>
    </row>
    <row r="50" spans="1:5" x14ac:dyDescent="0.25">
      <c r="A50" s="143" t="s">
        <v>467</v>
      </c>
      <c r="B50" s="2" t="s">
        <v>470</v>
      </c>
      <c r="C50" s="2" t="str">
        <f>"619216670927"</f>
        <v>619216670927</v>
      </c>
      <c r="D50" s="2">
        <v>11.1</v>
      </c>
      <c r="E50" s="66" t="s">
        <v>420</v>
      </c>
    </row>
    <row r="51" spans="1:5" x14ac:dyDescent="0.25">
      <c r="A51" s="143" t="s">
        <v>467</v>
      </c>
      <c r="B51" s="2" t="s">
        <v>470</v>
      </c>
      <c r="C51" s="2" t="str">
        <f>"619216670935"</f>
        <v>619216670935</v>
      </c>
      <c r="D51" s="2">
        <v>9.4</v>
      </c>
      <c r="E51" s="66" t="s">
        <v>420</v>
      </c>
    </row>
    <row r="52" spans="1:5" x14ac:dyDescent="0.25">
      <c r="A52" s="143" t="s">
        <v>467</v>
      </c>
      <c r="B52" s="2" t="s">
        <v>470</v>
      </c>
      <c r="C52" s="2" t="str">
        <f>"619216670962"</f>
        <v>619216670962</v>
      </c>
      <c r="D52" s="2">
        <v>9.1</v>
      </c>
      <c r="E52" s="66" t="s">
        <v>420</v>
      </c>
    </row>
    <row r="53" spans="1:5" x14ac:dyDescent="0.25">
      <c r="A53" s="143" t="s">
        <v>467</v>
      </c>
      <c r="B53" s="2" t="s">
        <v>470</v>
      </c>
      <c r="C53" s="2" t="str">
        <f>"619216670921"</f>
        <v>619216670921</v>
      </c>
      <c r="D53" s="2">
        <v>8.8000000000000007</v>
      </c>
      <c r="E53" s="66" t="s">
        <v>420</v>
      </c>
    </row>
    <row r="54" spans="1:5" ht="15.75" thickBot="1" x14ac:dyDescent="0.3">
      <c r="A54" s="539" t="s">
        <v>467</v>
      </c>
      <c r="B54" s="179" t="s">
        <v>470</v>
      </c>
      <c r="C54" s="179" t="str">
        <f>"619216670916"</f>
        <v>619216670916</v>
      </c>
      <c r="D54" s="179">
        <v>8.4</v>
      </c>
      <c r="E54" s="119" t="s">
        <v>420</v>
      </c>
    </row>
    <row r="55" spans="1:5" x14ac:dyDescent="0.25">
      <c r="A55" s="156" t="s">
        <v>1056</v>
      </c>
      <c r="B55" s="540" t="s">
        <v>1060</v>
      </c>
      <c r="C55" s="49" t="str">
        <f>"619217672757"</f>
        <v>619217672757</v>
      </c>
      <c r="D55" s="275">
        <v>16.09</v>
      </c>
      <c r="E55" s="294" t="s">
        <v>419</v>
      </c>
    </row>
    <row r="56" spans="1:5" x14ac:dyDescent="0.25">
      <c r="A56" s="95" t="s">
        <v>1056</v>
      </c>
      <c r="B56" s="537" t="s">
        <v>1060</v>
      </c>
      <c r="C56" s="2" t="str">
        <f>"619217672758"</f>
        <v>619217672758</v>
      </c>
      <c r="D56" s="26">
        <v>15.91</v>
      </c>
      <c r="E56" s="541" t="s">
        <v>419</v>
      </c>
    </row>
    <row r="57" spans="1:5" x14ac:dyDescent="0.25">
      <c r="A57" s="95" t="s">
        <v>1056</v>
      </c>
      <c r="B57" s="537" t="s">
        <v>1060</v>
      </c>
      <c r="C57" s="2" t="str">
        <f>"619217672759"</f>
        <v>619217672759</v>
      </c>
      <c r="D57" s="26">
        <v>15.73</v>
      </c>
      <c r="E57" s="541" t="s">
        <v>419</v>
      </c>
    </row>
    <row r="58" spans="1:5" x14ac:dyDescent="0.25">
      <c r="A58" s="95" t="s">
        <v>1056</v>
      </c>
      <c r="B58" s="537" t="s">
        <v>1060</v>
      </c>
      <c r="C58" s="2" t="str">
        <f>"619217672760"</f>
        <v>619217672760</v>
      </c>
      <c r="D58" s="26">
        <v>15.18</v>
      </c>
      <c r="E58" s="541" t="s">
        <v>419</v>
      </c>
    </row>
    <row r="59" spans="1:5" x14ac:dyDescent="0.25">
      <c r="A59" s="95" t="s">
        <v>1056</v>
      </c>
      <c r="B59" s="537" t="s">
        <v>1060</v>
      </c>
      <c r="C59" s="2" t="str">
        <f>"619217842761"</f>
        <v>619217842761</v>
      </c>
      <c r="D59" s="26">
        <v>14.73</v>
      </c>
      <c r="E59" s="541" t="s">
        <v>419</v>
      </c>
    </row>
    <row r="60" spans="1:5" x14ac:dyDescent="0.25">
      <c r="A60" s="95" t="s">
        <v>1056</v>
      </c>
      <c r="B60" s="537" t="s">
        <v>1060</v>
      </c>
      <c r="C60" s="2" t="str">
        <f>"619217672762"</f>
        <v>619217672762</v>
      </c>
      <c r="D60" s="26">
        <v>14.55</v>
      </c>
      <c r="E60" s="541" t="s">
        <v>419</v>
      </c>
    </row>
    <row r="61" spans="1:5" x14ac:dyDescent="0.25">
      <c r="A61" s="95" t="s">
        <v>1056</v>
      </c>
      <c r="B61" s="537" t="s">
        <v>1060</v>
      </c>
      <c r="C61" s="2" t="str">
        <f>"619217672763"</f>
        <v>619217672763</v>
      </c>
      <c r="D61" s="26">
        <v>14.45</v>
      </c>
      <c r="E61" s="541" t="s">
        <v>419</v>
      </c>
    </row>
    <row r="62" spans="1:5" x14ac:dyDescent="0.25">
      <c r="A62" s="95" t="s">
        <v>1056</v>
      </c>
      <c r="B62" s="537" t="s">
        <v>1060</v>
      </c>
      <c r="C62" s="2" t="str">
        <f>"619217672764"</f>
        <v>619217672764</v>
      </c>
      <c r="D62" s="26">
        <v>14.36</v>
      </c>
      <c r="E62" s="66" t="s">
        <v>420</v>
      </c>
    </row>
    <row r="63" spans="1:5" x14ac:dyDescent="0.25">
      <c r="A63" s="95" t="s">
        <v>1056</v>
      </c>
      <c r="B63" s="537" t="s">
        <v>1060</v>
      </c>
      <c r="C63" s="2" t="str">
        <f>"619217672765"</f>
        <v>619217672765</v>
      </c>
      <c r="D63" s="26">
        <v>14.36</v>
      </c>
      <c r="E63" s="66" t="s">
        <v>420</v>
      </c>
    </row>
    <row r="64" spans="1:5" x14ac:dyDescent="0.25">
      <c r="A64" s="95" t="s">
        <v>1056</v>
      </c>
      <c r="B64" s="537" t="s">
        <v>1060</v>
      </c>
      <c r="C64" s="2" t="str">
        <f>"619217842766"</f>
        <v>619217842766</v>
      </c>
      <c r="D64" s="26">
        <v>13.82</v>
      </c>
      <c r="E64" s="66" t="s">
        <v>420</v>
      </c>
    </row>
    <row r="65" spans="1:5" x14ac:dyDescent="0.25">
      <c r="A65" s="95" t="s">
        <v>1056</v>
      </c>
      <c r="B65" s="537" t="s">
        <v>1060</v>
      </c>
      <c r="C65" s="2" t="str">
        <f>"619217842767"</f>
        <v>619217842767</v>
      </c>
      <c r="D65" s="26">
        <v>13.73</v>
      </c>
      <c r="E65" s="66" t="s">
        <v>420</v>
      </c>
    </row>
    <row r="66" spans="1:5" x14ac:dyDescent="0.25">
      <c r="A66" s="95" t="s">
        <v>1056</v>
      </c>
      <c r="B66" s="537" t="s">
        <v>1060</v>
      </c>
      <c r="C66" s="2" t="str">
        <f>"619217672768"</f>
        <v>619217672768</v>
      </c>
      <c r="D66" s="26">
        <v>13.45</v>
      </c>
      <c r="E66" s="66" t="s">
        <v>420</v>
      </c>
    </row>
    <row r="67" spans="1:5" x14ac:dyDescent="0.25">
      <c r="A67" s="95" t="s">
        <v>1056</v>
      </c>
      <c r="B67" s="537" t="s">
        <v>1060</v>
      </c>
      <c r="C67" s="2" t="str">
        <f>"619217672769"</f>
        <v>619217672769</v>
      </c>
      <c r="D67" s="26">
        <v>13.45</v>
      </c>
      <c r="E67" s="66" t="s">
        <v>420</v>
      </c>
    </row>
    <row r="68" spans="1:5" x14ac:dyDescent="0.25">
      <c r="A68" s="95" t="s">
        <v>1056</v>
      </c>
      <c r="B68" s="537" t="s">
        <v>1060</v>
      </c>
      <c r="C68" s="2" t="str">
        <f>"619217672770"</f>
        <v>619217672770</v>
      </c>
      <c r="D68" s="26">
        <v>13</v>
      </c>
      <c r="E68" s="66" t="s">
        <v>420</v>
      </c>
    </row>
    <row r="69" spans="1:5" x14ac:dyDescent="0.25">
      <c r="A69" s="95" t="s">
        <v>1056</v>
      </c>
      <c r="B69" s="537" t="s">
        <v>1060</v>
      </c>
      <c r="C69" s="2" t="str">
        <f>"619217842771"</f>
        <v>619217842771</v>
      </c>
      <c r="D69" s="26">
        <v>12.82</v>
      </c>
      <c r="E69" s="66" t="s">
        <v>420</v>
      </c>
    </row>
    <row r="70" spans="1:5" x14ac:dyDescent="0.25">
      <c r="A70" s="95" t="s">
        <v>1057</v>
      </c>
      <c r="B70" s="537" t="s">
        <v>1060</v>
      </c>
      <c r="C70" s="2" t="str">
        <f>"619217672772"</f>
        <v>619217672772</v>
      </c>
      <c r="D70" s="26">
        <v>12.55</v>
      </c>
      <c r="E70" s="66" t="s">
        <v>420</v>
      </c>
    </row>
    <row r="71" spans="1:5" x14ac:dyDescent="0.25">
      <c r="A71" s="95" t="s">
        <v>1056</v>
      </c>
      <c r="B71" s="537" t="s">
        <v>1060</v>
      </c>
      <c r="C71" s="2" t="str">
        <f>"619217672773"</f>
        <v>619217672773</v>
      </c>
      <c r="D71" s="26">
        <v>12.36</v>
      </c>
      <c r="E71" s="66" t="s">
        <v>420</v>
      </c>
    </row>
    <row r="72" spans="1:5" x14ac:dyDescent="0.25">
      <c r="A72" s="95" t="s">
        <v>1056</v>
      </c>
      <c r="B72" s="537" t="s">
        <v>1060</v>
      </c>
      <c r="C72" s="2" t="str">
        <f>"619217672774"</f>
        <v>619217672774</v>
      </c>
      <c r="D72" s="26">
        <v>12.27</v>
      </c>
      <c r="E72" s="66" t="s">
        <v>420</v>
      </c>
    </row>
    <row r="73" spans="1:5" x14ac:dyDescent="0.25">
      <c r="A73" s="95" t="s">
        <v>1056</v>
      </c>
      <c r="B73" s="537" t="s">
        <v>1060</v>
      </c>
      <c r="C73" s="2" t="str">
        <f>"619217842775"</f>
        <v>619217842775</v>
      </c>
      <c r="D73" s="26">
        <v>12.27</v>
      </c>
      <c r="E73" s="66" t="s">
        <v>420</v>
      </c>
    </row>
    <row r="74" spans="1:5" x14ac:dyDescent="0.25">
      <c r="A74" s="95" t="s">
        <v>1056</v>
      </c>
      <c r="B74" s="537" t="s">
        <v>1060</v>
      </c>
      <c r="C74" s="2" t="str">
        <f>"619217842776"</f>
        <v>619217842776</v>
      </c>
      <c r="D74" s="26">
        <v>12.27</v>
      </c>
      <c r="E74" s="66" t="s">
        <v>420</v>
      </c>
    </row>
    <row r="75" spans="1:5" x14ac:dyDescent="0.25">
      <c r="A75" s="95" t="s">
        <v>1056</v>
      </c>
      <c r="B75" s="537" t="s">
        <v>1060</v>
      </c>
      <c r="C75" s="2" t="str">
        <f>"619217672777"</f>
        <v>619217672777</v>
      </c>
      <c r="D75" s="26">
        <v>12</v>
      </c>
      <c r="E75" s="66" t="s">
        <v>420</v>
      </c>
    </row>
    <row r="76" spans="1:5" x14ac:dyDescent="0.25">
      <c r="A76" s="95" t="s">
        <v>1056</v>
      </c>
      <c r="B76" s="537" t="s">
        <v>1060</v>
      </c>
      <c r="C76" s="2" t="str">
        <f>"619217672778"</f>
        <v>619217672778</v>
      </c>
      <c r="D76" s="26">
        <v>12</v>
      </c>
      <c r="E76" s="66" t="s">
        <v>420</v>
      </c>
    </row>
    <row r="77" spans="1:5" x14ac:dyDescent="0.25">
      <c r="A77" s="95" t="s">
        <v>1056</v>
      </c>
      <c r="B77" s="537" t="s">
        <v>1060</v>
      </c>
      <c r="C77" s="2" t="str">
        <f>"619217672779"</f>
        <v>619217672779</v>
      </c>
      <c r="D77" s="26">
        <v>11.64</v>
      </c>
      <c r="E77" s="66" t="s">
        <v>420</v>
      </c>
    </row>
    <row r="78" spans="1:5" x14ac:dyDescent="0.25">
      <c r="A78" s="95" t="s">
        <v>1056</v>
      </c>
      <c r="B78" s="537" t="s">
        <v>1060</v>
      </c>
      <c r="C78" s="2" t="str">
        <f>"619217672780"</f>
        <v>619217672780</v>
      </c>
      <c r="D78" s="26">
        <v>11.55</v>
      </c>
      <c r="E78" s="66" t="s">
        <v>420</v>
      </c>
    </row>
    <row r="79" spans="1:5" x14ac:dyDescent="0.25">
      <c r="A79" s="95" t="s">
        <v>1056</v>
      </c>
      <c r="B79" s="537" t="s">
        <v>1060</v>
      </c>
      <c r="C79" s="2" t="str">
        <f>"619217672781"</f>
        <v>619217672781</v>
      </c>
      <c r="D79" s="26">
        <v>11.45</v>
      </c>
      <c r="E79" s="66" t="s">
        <v>420</v>
      </c>
    </row>
    <row r="80" spans="1:5" x14ac:dyDescent="0.25">
      <c r="A80" s="95" t="s">
        <v>1056</v>
      </c>
      <c r="B80" s="537" t="s">
        <v>1060</v>
      </c>
      <c r="C80" s="2" t="str">
        <f>"619217842782"</f>
        <v>619217842782</v>
      </c>
      <c r="D80" s="26">
        <v>11.09</v>
      </c>
      <c r="E80" s="66" t="s">
        <v>420</v>
      </c>
    </row>
    <row r="81" spans="1:5" x14ac:dyDescent="0.25">
      <c r="A81" s="95" t="s">
        <v>1056</v>
      </c>
      <c r="B81" s="537" t="s">
        <v>1060</v>
      </c>
      <c r="C81" s="2" t="str">
        <f>"619217672783"</f>
        <v>619217672783</v>
      </c>
      <c r="D81" s="26">
        <v>10.82</v>
      </c>
      <c r="E81" s="66" t="s">
        <v>420</v>
      </c>
    </row>
    <row r="82" spans="1:5" x14ac:dyDescent="0.25">
      <c r="A82" s="95" t="s">
        <v>1056</v>
      </c>
      <c r="B82" s="537" t="s">
        <v>1060</v>
      </c>
      <c r="C82" s="2" t="str">
        <f>"619217672784"</f>
        <v>619217672784</v>
      </c>
      <c r="D82" s="26">
        <v>10</v>
      </c>
      <c r="E82" s="66" t="s">
        <v>420</v>
      </c>
    </row>
    <row r="83" spans="1:5" ht="15.75" thickBot="1" x14ac:dyDescent="0.3">
      <c r="A83" s="96" t="s">
        <v>1056</v>
      </c>
      <c r="B83" s="538" t="s">
        <v>1060</v>
      </c>
      <c r="C83" s="51" t="str">
        <f>"619217672785"</f>
        <v>619217672785</v>
      </c>
      <c r="D83" s="222">
        <v>8.82</v>
      </c>
      <c r="E83" s="46" t="s">
        <v>420</v>
      </c>
    </row>
    <row r="84" spans="1:5" x14ac:dyDescent="0.25">
      <c r="A84" s="156" t="s">
        <v>1056</v>
      </c>
      <c r="B84" s="275" t="s">
        <v>1058</v>
      </c>
      <c r="C84" s="49" t="str">
        <f>"619217672786"</f>
        <v>619217672786</v>
      </c>
      <c r="D84" s="275">
        <v>13.09</v>
      </c>
      <c r="E84" s="294" t="s">
        <v>419</v>
      </c>
    </row>
    <row r="85" spans="1:5" x14ac:dyDescent="0.25">
      <c r="A85" s="95" t="s">
        <v>1056</v>
      </c>
      <c r="B85" s="26" t="s">
        <v>1058</v>
      </c>
      <c r="C85" s="2" t="str">
        <f>"619217672787"</f>
        <v>619217672787</v>
      </c>
      <c r="D85" s="26">
        <v>12.82</v>
      </c>
      <c r="E85" s="541" t="s">
        <v>419</v>
      </c>
    </row>
    <row r="86" spans="1:5" x14ac:dyDescent="0.25">
      <c r="A86" s="95" t="s">
        <v>1056</v>
      </c>
      <c r="B86" s="26" t="s">
        <v>1058</v>
      </c>
      <c r="C86" s="2" t="str">
        <f>"619217842788"</f>
        <v>619217842788</v>
      </c>
      <c r="D86" s="26">
        <v>12.64</v>
      </c>
      <c r="E86" s="541" t="s">
        <v>419</v>
      </c>
    </row>
    <row r="87" spans="1:5" x14ac:dyDescent="0.25">
      <c r="A87" s="95" t="s">
        <v>1056</v>
      </c>
      <c r="B87" s="26" t="s">
        <v>1058</v>
      </c>
      <c r="C87" s="2" t="str">
        <f>"619217372789"</f>
        <v>619217372789</v>
      </c>
      <c r="D87" s="26">
        <v>12.45</v>
      </c>
      <c r="E87" s="541" t="s">
        <v>419</v>
      </c>
    </row>
    <row r="88" spans="1:5" x14ac:dyDescent="0.25">
      <c r="A88" s="95" t="s">
        <v>1056</v>
      </c>
      <c r="B88" s="26" t="s">
        <v>1058</v>
      </c>
      <c r="C88" s="2" t="str">
        <f>"619217672790"</f>
        <v>619217672790</v>
      </c>
      <c r="D88" s="2">
        <v>12.18</v>
      </c>
      <c r="E88" s="541" t="s">
        <v>419</v>
      </c>
    </row>
    <row r="89" spans="1:5" x14ac:dyDescent="0.25">
      <c r="A89" s="95" t="s">
        <v>1056</v>
      </c>
      <c r="B89" s="26" t="s">
        <v>1058</v>
      </c>
      <c r="C89" s="2" t="str">
        <f>"619217702791"</f>
        <v>619217702791</v>
      </c>
      <c r="D89" s="2">
        <v>12.09</v>
      </c>
      <c r="E89" s="541" t="s">
        <v>419</v>
      </c>
    </row>
    <row r="90" spans="1:5" x14ac:dyDescent="0.25">
      <c r="A90" s="95" t="s">
        <v>1056</v>
      </c>
      <c r="B90" s="26" t="s">
        <v>1058</v>
      </c>
      <c r="C90" s="2" t="str">
        <f>"619217672792"</f>
        <v>619217672792</v>
      </c>
      <c r="D90" s="2">
        <v>8.91</v>
      </c>
      <c r="E90" s="541" t="s">
        <v>419</v>
      </c>
    </row>
    <row r="91" spans="1:5" ht="15.75" thickBot="1" x14ac:dyDescent="0.3">
      <c r="A91" s="96" t="s">
        <v>1056</v>
      </c>
      <c r="B91" s="222" t="s">
        <v>1058</v>
      </c>
      <c r="C91" s="51" t="str">
        <f>"619217672793"</f>
        <v>619217672793</v>
      </c>
      <c r="D91" s="51">
        <v>7.55</v>
      </c>
      <c r="E91" s="296" t="s">
        <v>419</v>
      </c>
    </row>
    <row r="92" spans="1:5" x14ac:dyDescent="0.25">
      <c r="A92" s="156" t="s">
        <v>1056</v>
      </c>
      <c r="B92" s="49" t="s">
        <v>1059</v>
      </c>
      <c r="C92" s="49" t="str">
        <f>"619217672808"</f>
        <v>619217672808</v>
      </c>
      <c r="D92" s="49">
        <v>13</v>
      </c>
      <c r="E92" s="294" t="s">
        <v>419</v>
      </c>
    </row>
    <row r="93" spans="1:5" x14ac:dyDescent="0.25">
      <c r="A93" s="95" t="s">
        <v>1056</v>
      </c>
      <c r="B93" s="2" t="s">
        <v>1059</v>
      </c>
      <c r="C93" s="2" t="str">
        <f>"619217672810"</f>
        <v>619217672810</v>
      </c>
      <c r="D93" s="2">
        <v>12.55</v>
      </c>
      <c r="E93" s="541" t="s">
        <v>419</v>
      </c>
    </row>
    <row r="94" spans="1:5" x14ac:dyDescent="0.25">
      <c r="A94" s="95" t="s">
        <v>1056</v>
      </c>
      <c r="B94" s="2" t="s">
        <v>1059</v>
      </c>
      <c r="C94" s="2" t="str">
        <f>"619217842811"</f>
        <v>619217842811</v>
      </c>
      <c r="D94" s="2">
        <v>12.45</v>
      </c>
      <c r="E94" s="541" t="s">
        <v>419</v>
      </c>
    </row>
    <row r="95" spans="1:5" x14ac:dyDescent="0.25">
      <c r="A95" s="95" t="s">
        <v>1056</v>
      </c>
      <c r="B95" s="2" t="s">
        <v>1059</v>
      </c>
      <c r="C95" s="2" t="str">
        <f>"619217672812"</f>
        <v>619217672812</v>
      </c>
      <c r="D95" s="2">
        <v>11.91</v>
      </c>
      <c r="E95" s="541" t="s">
        <v>419</v>
      </c>
    </row>
    <row r="96" spans="1:5" x14ac:dyDescent="0.25">
      <c r="A96" s="95" t="s">
        <v>1056</v>
      </c>
      <c r="B96" s="2" t="s">
        <v>1059</v>
      </c>
      <c r="C96" s="2" t="str">
        <f>"619217672813"</f>
        <v>619217672813</v>
      </c>
      <c r="D96" s="2">
        <v>10.82</v>
      </c>
      <c r="E96" s="541" t="s">
        <v>419</v>
      </c>
    </row>
    <row r="97" spans="1:5" x14ac:dyDescent="0.25">
      <c r="A97" s="95" t="s">
        <v>1056</v>
      </c>
      <c r="B97" s="2" t="s">
        <v>1059</v>
      </c>
      <c r="C97" s="2" t="str">
        <f>"619217672814"</f>
        <v>619217672814</v>
      </c>
      <c r="D97" s="2">
        <v>8.4499999999999993</v>
      </c>
      <c r="E97" s="541" t="s">
        <v>419</v>
      </c>
    </row>
    <row r="98" spans="1:5" ht="15.75" thickBot="1" x14ac:dyDescent="0.3">
      <c r="A98" s="96" t="s">
        <v>1056</v>
      </c>
      <c r="B98" s="51" t="s">
        <v>1059</v>
      </c>
      <c r="C98" s="51" t="str">
        <f>"619217842809"</f>
        <v>619217842809</v>
      </c>
      <c r="D98" s="51" t="s">
        <v>836</v>
      </c>
      <c r="E98" s="46" t="s">
        <v>420</v>
      </c>
    </row>
    <row r="99" spans="1:5" x14ac:dyDescent="0.25">
      <c r="A99" s="156" t="s">
        <v>1056</v>
      </c>
      <c r="B99" s="49" t="s">
        <v>469</v>
      </c>
      <c r="C99" s="49" t="str">
        <f>"619217842794"</f>
        <v>619217842794</v>
      </c>
      <c r="D99" s="49">
        <v>12.91</v>
      </c>
      <c r="E99" s="294" t="s">
        <v>419</v>
      </c>
    </row>
    <row r="100" spans="1:5" x14ac:dyDescent="0.25">
      <c r="A100" s="95" t="s">
        <v>1056</v>
      </c>
      <c r="B100" s="2" t="s">
        <v>469</v>
      </c>
      <c r="C100" s="2" t="str">
        <f>"619217672795"</f>
        <v>619217672795</v>
      </c>
      <c r="D100" s="2">
        <v>12.82</v>
      </c>
      <c r="E100" s="541" t="s">
        <v>419</v>
      </c>
    </row>
    <row r="101" spans="1:5" x14ac:dyDescent="0.25">
      <c r="A101" s="95" t="s">
        <v>1056</v>
      </c>
      <c r="B101" s="2" t="s">
        <v>469</v>
      </c>
      <c r="C101" s="2" t="str">
        <f>"619217672796"</f>
        <v>619217672796</v>
      </c>
      <c r="D101" s="2">
        <v>12.55</v>
      </c>
      <c r="E101" s="541" t="s">
        <v>419</v>
      </c>
    </row>
    <row r="102" spans="1:5" x14ac:dyDescent="0.25">
      <c r="A102" s="95" t="s">
        <v>1056</v>
      </c>
      <c r="B102" s="2" t="s">
        <v>469</v>
      </c>
      <c r="C102" s="2" t="str">
        <f>"619217672797"</f>
        <v>619217672797</v>
      </c>
      <c r="D102" s="2">
        <v>12.45</v>
      </c>
      <c r="E102" s="541" t="s">
        <v>419</v>
      </c>
    </row>
    <row r="103" spans="1:5" x14ac:dyDescent="0.25">
      <c r="A103" s="95" t="s">
        <v>1056</v>
      </c>
      <c r="B103" s="2" t="s">
        <v>469</v>
      </c>
      <c r="C103" s="2" t="str">
        <f>"619217672798"</f>
        <v>619217672798</v>
      </c>
      <c r="D103" s="2">
        <v>12.18</v>
      </c>
      <c r="E103" s="541" t="s">
        <v>419</v>
      </c>
    </row>
    <row r="104" spans="1:5" x14ac:dyDescent="0.25">
      <c r="A104" s="95" t="s">
        <v>1056</v>
      </c>
      <c r="B104" s="2" t="s">
        <v>469</v>
      </c>
      <c r="C104" s="2" t="str">
        <f>"619217672799"</f>
        <v>619217672799</v>
      </c>
      <c r="D104" s="2">
        <v>11.91</v>
      </c>
      <c r="E104" s="541" t="s">
        <v>419</v>
      </c>
    </row>
    <row r="105" spans="1:5" x14ac:dyDescent="0.25">
      <c r="A105" s="95" t="s">
        <v>1056</v>
      </c>
      <c r="B105" s="2" t="s">
        <v>469</v>
      </c>
      <c r="C105" s="2" t="str">
        <f>"619217672800"</f>
        <v>619217672800</v>
      </c>
      <c r="D105" s="2">
        <v>10.36</v>
      </c>
      <c r="E105" s="541" t="s">
        <v>419</v>
      </c>
    </row>
    <row r="106" spans="1:5" x14ac:dyDescent="0.25">
      <c r="A106" s="95" t="s">
        <v>1056</v>
      </c>
      <c r="B106" s="2" t="s">
        <v>469</v>
      </c>
      <c r="C106" s="2" t="str">
        <f>"619217672801"</f>
        <v>619217672801</v>
      </c>
      <c r="D106" s="2">
        <v>9.91</v>
      </c>
      <c r="E106" s="66" t="s">
        <v>420</v>
      </c>
    </row>
    <row r="107" spans="1:5" x14ac:dyDescent="0.25">
      <c r="A107" s="95" t="s">
        <v>1056</v>
      </c>
      <c r="B107" s="2" t="s">
        <v>469</v>
      </c>
      <c r="C107" s="2" t="str">
        <f>"619217672802"</f>
        <v>619217672802</v>
      </c>
      <c r="D107" s="2">
        <v>9.82</v>
      </c>
      <c r="E107" s="66" t="s">
        <v>420</v>
      </c>
    </row>
    <row r="108" spans="1:5" x14ac:dyDescent="0.25">
      <c r="A108" s="95" t="s">
        <v>1056</v>
      </c>
      <c r="B108" s="2" t="s">
        <v>469</v>
      </c>
      <c r="C108" s="2" t="str">
        <f>"619217672803"</f>
        <v>619217672803</v>
      </c>
      <c r="D108" s="2">
        <v>9.73</v>
      </c>
      <c r="E108" s="66" t="s">
        <v>420</v>
      </c>
    </row>
    <row r="109" spans="1:5" x14ac:dyDescent="0.25">
      <c r="A109" s="95" t="s">
        <v>1056</v>
      </c>
      <c r="B109" s="2" t="s">
        <v>469</v>
      </c>
      <c r="C109" s="2" t="str">
        <f>"619217672804"</f>
        <v>619217672804</v>
      </c>
      <c r="D109" s="2">
        <v>9.36</v>
      </c>
      <c r="E109" s="66" t="s">
        <v>420</v>
      </c>
    </row>
    <row r="110" spans="1:5" x14ac:dyDescent="0.25">
      <c r="A110" s="95" t="s">
        <v>1056</v>
      </c>
      <c r="B110" s="2" t="s">
        <v>469</v>
      </c>
      <c r="C110" s="2" t="str">
        <f>"619217672805"</f>
        <v>619217672805</v>
      </c>
      <c r="D110" s="2">
        <v>8.91</v>
      </c>
      <c r="E110" s="66" t="s">
        <v>420</v>
      </c>
    </row>
    <row r="111" spans="1:5" x14ac:dyDescent="0.25">
      <c r="A111" s="95" t="s">
        <v>1056</v>
      </c>
      <c r="B111" s="2" t="s">
        <v>469</v>
      </c>
      <c r="C111" s="2" t="str">
        <f>"619217842806"</f>
        <v>619217842806</v>
      </c>
      <c r="D111" s="2">
        <v>8.4499999999999993</v>
      </c>
      <c r="E111" s="66" t="s">
        <v>420</v>
      </c>
    </row>
    <row r="112" spans="1:5" x14ac:dyDescent="0.25">
      <c r="A112" s="235" t="s">
        <v>1056</v>
      </c>
      <c r="B112" s="179" t="s">
        <v>469</v>
      </c>
      <c r="C112" s="179" t="str">
        <f>"619217672807"</f>
        <v>619217672807</v>
      </c>
      <c r="D112" s="179">
        <v>7.73</v>
      </c>
      <c r="E112" s="119" t="s">
        <v>420</v>
      </c>
    </row>
    <row r="113" spans="1:5" x14ac:dyDescent="0.25">
      <c r="A113" s="26" t="s">
        <v>1077</v>
      </c>
      <c r="B113" s="26" t="s">
        <v>468</v>
      </c>
      <c r="C113" s="2" t="str">
        <f>"619217713323"</f>
        <v>619217713323</v>
      </c>
      <c r="D113" s="2">
        <v>14.8</v>
      </c>
      <c r="E113" s="301" t="s">
        <v>419</v>
      </c>
    </row>
    <row r="114" spans="1:5" x14ac:dyDescent="0.25">
      <c r="A114" s="26" t="s">
        <v>1077</v>
      </c>
      <c r="B114" s="26" t="s">
        <v>468</v>
      </c>
      <c r="C114" s="2" t="str">
        <f>"619217683353"</f>
        <v>619217683353</v>
      </c>
      <c r="D114" s="2">
        <v>14.6</v>
      </c>
      <c r="E114" s="301" t="s">
        <v>419</v>
      </c>
    </row>
    <row r="115" spans="1:5" x14ac:dyDescent="0.25">
      <c r="A115" s="26" t="s">
        <v>1077</v>
      </c>
      <c r="B115" s="26" t="s">
        <v>468</v>
      </c>
      <c r="C115" s="2" t="str">
        <f>"619217683336"</f>
        <v>619217683336</v>
      </c>
      <c r="D115" s="2">
        <v>14.6</v>
      </c>
      <c r="E115" s="301" t="s">
        <v>419</v>
      </c>
    </row>
    <row r="116" spans="1:5" x14ac:dyDescent="0.25">
      <c r="A116" s="26" t="s">
        <v>1077</v>
      </c>
      <c r="B116" s="26" t="s">
        <v>468</v>
      </c>
      <c r="C116" s="2" t="str">
        <f>"619217683359"</f>
        <v>619217683359</v>
      </c>
      <c r="D116" s="2">
        <v>14.4</v>
      </c>
      <c r="E116" s="301" t="s">
        <v>419</v>
      </c>
    </row>
    <row r="117" spans="1:5" x14ac:dyDescent="0.25">
      <c r="A117" s="26" t="s">
        <v>1077</v>
      </c>
      <c r="B117" s="26" t="s">
        <v>468</v>
      </c>
      <c r="C117" s="2" t="str">
        <f>"619217683344"</f>
        <v>619217683344</v>
      </c>
      <c r="D117" s="2">
        <v>14.3</v>
      </c>
      <c r="E117" s="301" t="s">
        <v>419</v>
      </c>
    </row>
    <row r="118" spans="1:5" x14ac:dyDescent="0.25">
      <c r="A118" s="26" t="s">
        <v>1077</v>
      </c>
      <c r="B118" s="26" t="s">
        <v>468</v>
      </c>
      <c r="C118" s="2" t="str">
        <f>"619217683339"</f>
        <v>619217683339</v>
      </c>
      <c r="D118" s="2">
        <v>14.3</v>
      </c>
      <c r="E118" s="301" t="s">
        <v>419</v>
      </c>
    </row>
    <row r="119" spans="1:5" x14ac:dyDescent="0.25">
      <c r="A119" s="26" t="s">
        <v>1077</v>
      </c>
      <c r="B119" s="26" t="s">
        <v>468</v>
      </c>
      <c r="C119" s="2" t="str">
        <f>"619217683333"</f>
        <v>619217683333</v>
      </c>
      <c r="D119" s="2">
        <v>13.8</v>
      </c>
      <c r="E119" s="301" t="s">
        <v>419</v>
      </c>
    </row>
    <row r="120" spans="1:5" x14ac:dyDescent="0.25">
      <c r="A120" s="26" t="s">
        <v>1077</v>
      </c>
      <c r="B120" s="26" t="s">
        <v>468</v>
      </c>
      <c r="C120" s="2" t="str">
        <f>"619217843321"</f>
        <v>619217843321</v>
      </c>
      <c r="D120" s="2">
        <v>13.9</v>
      </c>
      <c r="E120" s="226" t="s">
        <v>420</v>
      </c>
    </row>
    <row r="121" spans="1:5" x14ac:dyDescent="0.25">
      <c r="A121" s="26" t="s">
        <v>1077</v>
      </c>
      <c r="B121" s="26" t="s">
        <v>468</v>
      </c>
      <c r="C121" s="2" t="str">
        <f>"619217683302"</f>
        <v>619217683302</v>
      </c>
      <c r="D121" s="2">
        <v>13.8</v>
      </c>
      <c r="E121" s="226" t="s">
        <v>420</v>
      </c>
    </row>
    <row r="122" spans="1:5" x14ac:dyDescent="0.25">
      <c r="A122" s="26" t="s">
        <v>1077</v>
      </c>
      <c r="B122" s="26" t="s">
        <v>468</v>
      </c>
      <c r="C122" s="2" t="str">
        <f>"619217683340"</f>
        <v>619217683340</v>
      </c>
      <c r="D122" s="2">
        <v>13.7</v>
      </c>
      <c r="E122" s="226" t="s">
        <v>420</v>
      </c>
    </row>
    <row r="123" spans="1:5" x14ac:dyDescent="0.25">
      <c r="A123" s="26" t="s">
        <v>1077</v>
      </c>
      <c r="B123" s="26" t="s">
        <v>468</v>
      </c>
      <c r="C123" s="2" t="str">
        <f>"619217843315"</f>
        <v>619217843315</v>
      </c>
      <c r="D123" s="2">
        <v>13.3</v>
      </c>
      <c r="E123" s="226" t="s">
        <v>420</v>
      </c>
    </row>
    <row r="124" spans="1:5" x14ac:dyDescent="0.25">
      <c r="A124" s="26" t="s">
        <v>1077</v>
      </c>
      <c r="B124" s="26" t="s">
        <v>468</v>
      </c>
      <c r="C124" s="2" t="str">
        <f>"619217563317"</f>
        <v>619217563317</v>
      </c>
      <c r="D124" s="2">
        <v>13.2</v>
      </c>
      <c r="E124" s="226" t="s">
        <v>420</v>
      </c>
    </row>
    <row r="125" spans="1:5" x14ac:dyDescent="0.25">
      <c r="A125" s="26" t="s">
        <v>1077</v>
      </c>
      <c r="B125" s="26" t="s">
        <v>468</v>
      </c>
      <c r="C125" s="2" t="str">
        <f>"619217683304"</f>
        <v>619217683304</v>
      </c>
      <c r="D125" s="2">
        <v>13.1</v>
      </c>
      <c r="E125" s="226" t="s">
        <v>420</v>
      </c>
    </row>
    <row r="126" spans="1:5" x14ac:dyDescent="0.25">
      <c r="A126" s="26" t="s">
        <v>1077</v>
      </c>
      <c r="B126" s="26" t="s">
        <v>468</v>
      </c>
      <c r="C126" s="2" t="str">
        <f>"619217683329"</f>
        <v>619217683329</v>
      </c>
      <c r="D126" s="2">
        <v>12.7</v>
      </c>
      <c r="E126" s="226" t="s">
        <v>420</v>
      </c>
    </row>
    <row r="127" spans="1:5" x14ac:dyDescent="0.25">
      <c r="A127" s="26" t="s">
        <v>1077</v>
      </c>
      <c r="B127" s="26" t="s">
        <v>468</v>
      </c>
      <c r="C127" s="2" t="str">
        <f>"619217683331"</f>
        <v>619217683331</v>
      </c>
      <c r="D127" s="2">
        <v>12.6</v>
      </c>
      <c r="E127" s="226" t="s">
        <v>420</v>
      </c>
    </row>
    <row r="128" spans="1:5" x14ac:dyDescent="0.25">
      <c r="A128" s="26" t="s">
        <v>1077</v>
      </c>
      <c r="B128" s="26" t="s">
        <v>468</v>
      </c>
      <c r="C128" s="2" t="str">
        <f>"619217683314"</f>
        <v>619217683314</v>
      </c>
      <c r="D128" s="2">
        <v>12.5</v>
      </c>
      <c r="E128" s="226" t="s">
        <v>420</v>
      </c>
    </row>
    <row r="129" spans="1:5" x14ac:dyDescent="0.25">
      <c r="A129" s="26" t="s">
        <v>1077</v>
      </c>
      <c r="B129" s="26" t="s">
        <v>468</v>
      </c>
      <c r="C129" s="2" t="str">
        <f>"619217683356"</f>
        <v>619217683356</v>
      </c>
      <c r="D129" s="2">
        <v>8.5</v>
      </c>
      <c r="E129" s="226" t="s">
        <v>420</v>
      </c>
    </row>
    <row r="130" spans="1:5" x14ac:dyDescent="0.25">
      <c r="A130" s="26" t="s">
        <v>1077</v>
      </c>
      <c r="B130" s="26" t="s">
        <v>468</v>
      </c>
      <c r="C130" s="2" t="str">
        <f>"619217683312"</f>
        <v>619217683312</v>
      </c>
      <c r="D130" s="2">
        <v>8.3000000000000007</v>
      </c>
      <c r="E130" s="226" t="s">
        <v>420</v>
      </c>
    </row>
    <row r="131" spans="1:5" x14ac:dyDescent="0.25">
      <c r="A131" s="26" t="s">
        <v>1077</v>
      </c>
      <c r="B131" s="26" t="s">
        <v>470</v>
      </c>
      <c r="C131" s="2" t="str">
        <f>"619217683351"</f>
        <v>619217683351</v>
      </c>
      <c r="D131" s="2">
        <v>12.91</v>
      </c>
      <c r="E131" s="301" t="s">
        <v>419</v>
      </c>
    </row>
    <row r="132" spans="1:5" x14ac:dyDescent="0.25">
      <c r="A132" s="26" t="s">
        <v>1077</v>
      </c>
      <c r="B132" s="26" t="s">
        <v>470</v>
      </c>
      <c r="C132" s="2" t="str">
        <f>"619217843303"</f>
        <v>619217843303</v>
      </c>
      <c r="D132" s="2">
        <v>12.91</v>
      </c>
      <c r="E132" s="301" t="s">
        <v>419</v>
      </c>
    </row>
    <row r="133" spans="1:5" x14ac:dyDescent="0.25">
      <c r="A133" s="26" t="s">
        <v>1077</v>
      </c>
      <c r="B133" s="26" t="s">
        <v>470</v>
      </c>
      <c r="C133" s="2" t="str">
        <f>"619217683313"</f>
        <v>619217683313</v>
      </c>
      <c r="D133" s="2">
        <v>12.64</v>
      </c>
      <c r="E133" s="301" t="s">
        <v>419</v>
      </c>
    </row>
    <row r="134" spans="1:5" x14ac:dyDescent="0.25">
      <c r="A134" s="26" t="s">
        <v>1077</v>
      </c>
      <c r="B134" s="26" t="s">
        <v>470</v>
      </c>
      <c r="C134" s="2" t="str">
        <f>"619217843322"</f>
        <v>619217843322</v>
      </c>
      <c r="D134" s="2">
        <v>12.18</v>
      </c>
      <c r="E134" s="301" t="s">
        <v>419</v>
      </c>
    </row>
    <row r="135" spans="1:5" x14ac:dyDescent="0.25">
      <c r="A135" s="26" t="s">
        <v>1077</v>
      </c>
      <c r="B135" s="26" t="s">
        <v>470</v>
      </c>
      <c r="C135" s="2" t="str">
        <f>"619217683300"</f>
        <v>619217683300</v>
      </c>
      <c r="D135" s="2">
        <v>12.18</v>
      </c>
      <c r="E135" s="301" t="s">
        <v>419</v>
      </c>
    </row>
    <row r="136" spans="1:5" x14ac:dyDescent="0.25">
      <c r="A136" s="26" t="s">
        <v>1077</v>
      </c>
      <c r="B136" s="26" t="s">
        <v>470</v>
      </c>
      <c r="C136" s="2" t="str">
        <f>"619217683355"</f>
        <v>619217683355</v>
      </c>
      <c r="D136" s="2">
        <v>12</v>
      </c>
      <c r="E136" s="301" t="s">
        <v>419</v>
      </c>
    </row>
    <row r="137" spans="1:5" x14ac:dyDescent="0.25">
      <c r="A137" s="26" t="s">
        <v>1077</v>
      </c>
      <c r="B137" s="26" t="s">
        <v>470</v>
      </c>
      <c r="C137" s="2" t="str">
        <f>"619217683335"</f>
        <v>619217683335</v>
      </c>
      <c r="D137" s="2">
        <v>11.82</v>
      </c>
      <c r="E137" s="301" t="s">
        <v>419</v>
      </c>
    </row>
    <row r="138" spans="1:5" x14ac:dyDescent="0.25">
      <c r="A138" s="26" t="s">
        <v>1077</v>
      </c>
      <c r="B138" s="26" t="s">
        <v>470</v>
      </c>
      <c r="C138" s="2" t="str">
        <f>"619217713334"</f>
        <v>619217713334</v>
      </c>
      <c r="D138" s="2">
        <v>11.64</v>
      </c>
      <c r="E138" s="301" t="s">
        <v>419</v>
      </c>
    </row>
    <row r="139" spans="1:5" x14ac:dyDescent="0.25">
      <c r="A139" s="26" t="s">
        <v>1077</v>
      </c>
      <c r="B139" s="26" t="s">
        <v>470</v>
      </c>
      <c r="C139" s="2" t="str">
        <f>"619217843327"</f>
        <v>619217843327</v>
      </c>
      <c r="D139" s="2">
        <v>10.73</v>
      </c>
      <c r="E139" s="301" t="s">
        <v>419</v>
      </c>
    </row>
    <row r="140" spans="1:5" x14ac:dyDescent="0.25">
      <c r="A140" s="26" t="s">
        <v>1077</v>
      </c>
      <c r="B140" s="26" t="s">
        <v>470</v>
      </c>
      <c r="C140" s="2" t="str">
        <f>"619217683360"</f>
        <v>619217683360</v>
      </c>
      <c r="D140" s="2">
        <v>11.09</v>
      </c>
      <c r="E140" s="226" t="s">
        <v>420</v>
      </c>
    </row>
    <row r="141" spans="1:5" x14ac:dyDescent="0.25">
      <c r="A141" s="26" t="s">
        <v>1077</v>
      </c>
      <c r="B141" s="26" t="s">
        <v>470</v>
      </c>
      <c r="C141" s="2" t="str">
        <f>"619217843352"</f>
        <v>619217843352</v>
      </c>
      <c r="D141" s="2">
        <v>10.64</v>
      </c>
      <c r="E141" s="226" t="s">
        <v>420</v>
      </c>
    </row>
    <row r="142" spans="1:5" x14ac:dyDescent="0.25">
      <c r="A142" s="26" t="s">
        <v>1077</v>
      </c>
      <c r="B142" s="26" t="s">
        <v>470</v>
      </c>
      <c r="C142" s="2" t="str">
        <f>"619217843330"</f>
        <v>619217843330</v>
      </c>
      <c r="D142" s="2">
        <v>10.64</v>
      </c>
      <c r="E142" s="226" t="s">
        <v>420</v>
      </c>
    </row>
    <row r="143" spans="1:5" x14ac:dyDescent="0.25">
      <c r="A143" s="26" t="s">
        <v>1077</v>
      </c>
      <c r="B143" s="26" t="s">
        <v>470</v>
      </c>
      <c r="C143" s="2" t="str">
        <f>"619217843324"</f>
        <v>619217843324</v>
      </c>
      <c r="D143" s="2">
        <v>10.18</v>
      </c>
      <c r="E143" s="226" t="s">
        <v>420</v>
      </c>
    </row>
    <row r="144" spans="1:5" x14ac:dyDescent="0.25">
      <c r="A144" s="26" t="s">
        <v>1077</v>
      </c>
      <c r="B144" s="26" t="s">
        <v>470</v>
      </c>
      <c r="C144" s="2" t="str">
        <f>"619217843307"</f>
        <v>619217843307</v>
      </c>
      <c r="D144" s="2">
        <v>10.09</v>
      </c>
      <c r="E144" s="226" t="s">
        <v>420</v>
      </c>
    </row>
    <row r="145" spans="1:5" x14ac:dyDescent="0.25">
      <c r="A145" s="26" t="s">
        <v>1077</v>
      </c>
      <c r="B145" s="26" t="s">
        <v>470</v>
      </c>
      <c r="C145" s="2" t="str">
        <f>"619217683308"</f>
        <v>619217683308</v>
      </c>
      <c r="D145" s="2">
        <v>9.73</v>
      </c>
      <c r="E145" s="226" t="s">
        <v>420</v>
      </c>
    </row>
    <row r="146" spans="1:5" x14ac:dyDescent="0.25">
      <c r="A146" s="26" t="s">
        <v>1077</v>
      </c>
      <c r="B146" s="26" t="s">
        <v>470</v>
      </c>
      <c r="C146" s="2" t="str">
        <f>"619217683297"</f>
        <v>619217683297</v>
      </c>
      <c r="D146" s="2">
        <v>9.36</v>
      </c>
      <c r="E146" s="226" t="s">
        <v>420</v>
      </c>
    </row>
    <row r="147" spans="1:5" x14ac:dyDescent="0.25">
      <c r="A147" s="26" t="s">
        <v>1077</v>
      </c>
      <c r="B147" s="26" t="s">
        <v>470</v>
      </c>
      <c r="C147" s="2" t="str">
        <f>"619217843305"</f>
        <v>619217843305</v>
      </c>
      <c r="D147" s="2">
        <v>8.4499999999999993</v>
      </c>
      <c r="E147" s="226" t="s">
        <v>420</v>
      </c>
    </row>
    <row r="148" spans="1:5" x14ac:dyDescent="0.25">
      <c r="A148" s="26" t="s">
        <v>1117</v>
      </c>
      <c r="B148" s="26" t="s">
        <v>1060</v>
      </c>
      <c r="C148" s="2">
        <v>19201800336</v>
      </c>
      <c r="D148" s="2">
        <v>15.74</v>
      </c>
      <c r="E148" s="301" t="s">
        <v>419</v>
      </c>
    </row>
    <row r="149" spans="1:5" x14ac:dyDescent="0.25">
      <c r="A149" s="26" t="s">
        <v>1117</v>
      </c>
      <c r="B149" s="26" t="s">
        <v>1060</v>
      </c>
      <c r="C149" s="2">
        <v>19201800338</v>
      </c>
      <c r="D149" s="2">
        <v>14.74</v>
      </c>
      <c r="E149" s="301" t="s">
        <v>419</v>
      </c>
    </row>
    <row r="150" spans="1:5" x14ac:dyDescent="0.25">
      <c r="A150" s="26" t="s">
        <v>1117</v>
      </c>
      <c r="B150" s="26" t="s">
        <v>1060</v>
      </c>
      <c r="C150" s="2">
        <v>19201800318</v>
      </c>
      <c r="D150" s="2">
        <v>13.74</v>
      </c>
      <c r="E150" s="301" t="s">
        <v>419</v>
      </c>
    </row>
    <row r="151" spans="1:5" x14ac:dyDescent="0.25">
      <c r="A151" s="26" t="s">
        <v>1117</v>
      </c>
      <c r="B151" s="26" t="s">
        <v>1060</v>
      </c>
      <c r="C151" s="2">
        <v>19201800307</v>
      </c>
      <c r="D151" s="2">
        <v>13.65</v>
      </c>
      <c r="E151" s="226" t="s">
        <v>420</v>
      </c>
    </row>
    <row r="152" spans="1:5" x14ac:dyDescent="0.25">
      <c r="A152" s="26" t="s">
        <v>1117</v>
      </c>
      <c r="B152" s="26" t="s">
        <v>1060</v>
      </c>
      <c r="C152" s="2">
        <v>19201800337</v>
      </c>
      <c r="D152" s="2">
        <v>13.47</v>
      </c>
      <c r="E152" s="226" t="s">
        <v>420</v>
      </c>
    </row>
    <row r="153" spans="1:5" x14ac:dyDescent="0.25">
      <c r="A153" s="26" t="s">
        <v>1117</v>
      </c>
      <c r="B153" s="26" t="s">
        <v>1060</v>
      </c>
      <c r="C153" s="2">
        <v>19201800322</v>
      </c>
      <c r="D153" s="2">
        <v>13.39</v>
      </c>
      <c r="E153" s="226" t="s">
        <v>420</v>
      </c>
    </row>
    <row r="154" spans="1:5" x14ac:dyDescent="0.25">
      <c r="A154" s="26" t="s">
        <v>1117</v>
      </c>
      <c r="B154" s="26" t="s">
        <v>1060</v>
      </c>
      <c r="C154" s="2">
        <v>19201800329</v>
      </c>
      <c r="D154" s="2">
        <v>13.29</v>
      </c>
      <c r="E154" s="226" t="s">
        <v>420</v>
      </c>
    </row>
    <row r="155" spans="1:5" x14ac:dyDescent="0.25">
      <c r="A155" s="26" t="s">
        <v>1117</v>
      </c>
      <c r="B155" s="26" t="s">
        <v>1060</v>
      </c>
      <c r="C155" s="2">
        <v>19201800316</v>
      </c>
      <c r="D155" s="2">
        <v>13.11</v>
      </c>
      <c r="E155" s="226" t="s">
        <v>420</v>
      </c>
    </row>
    <row r="156" spans="1:5" x14ac:dyDescent="0.25">
      <c r="A156" s="26" t="s">
        <v>1117</v>
      </c>
      <c r="B156" s="26" t="s">
        <v>1060</v>
      </c>
      <c r="C156" s="2">
        <v>19201800330</v>
      </c>
      <c r="D156" s="2">
        <v>13.01</v>
      </c>
      <c r="E156" s="226" t="s">
        <v>420</v>
      </c>
    </row>
    <row r="157" spans="1:5" x14ac:dyDescent="0.25">
      <c r="A157" s="26" t="s">
        <v>1117</v>
      </c>
      <c r="B157" s="26" t="s">
        <v>1060</v>
      </c>
      <c r="C157" s="2">
        <v>19201800331</v>
      </c>
      <c r="D157" s="2">
        <v>12.74</v>
      </c>
      <c r="E157" s="226" t="s">
        <v>420</v>
      </c>
    </row>
    <row r="158" spans="1:5" x14ac:dyDescent="0.25">
      <c r="A158" s="26" t="s">
        <v>1117</v>
      </c>
      <c r="B158" s="26" t="s">
        <v>1060</v>
      </c>
      <c r="C158" s="2">
        <v>19201800305</v>
      </c>
      <c r="D158" s="2">
        <v>12.66</v>
      </c>
      <c r="E158" s="226" t="s">
        <v>420</v>
      </c>
    </row>
    <row r="159" spans="1:5" x14ac:dyDescent="0.25">
      <c r="A159" s="26" t="s">
        <v>1117</v>
      </c>
      <c r="B159" s="26" t="s">
        <v>1060</v>
      </c>
      <c r="C159" s="2">
        <v>19201800340</v>
      </c>
      <c r="D159" s="2">
        <v>12.58</v>
      </c>
      <c r="E159" s="226" t="s">
        <v>420</v>
      </c>
    </row>
    <row r="160" spans="1:5" x14ac:dyDescent="0.25">
      <c r="A160" s="26" t="s">
        <v>1117</v>
      </c>
      <c r="B160" s="26" t="s">
        <v>1060</v>
      </c>
      <c r="C160" s="2">
        <v>19201800303</v>
      </c>
      <c r="D160" s="2">
        <v>12.38</v>
      </c>
      <c r="E160" s="226" t="s">
        <v>420</v>
      </c>
    </row>
    <row r="161" spans="1:5" x14ac:dyDescent="0.25">
      <c r="A161" s="26" t="s">
        <v>1117</v>
      </c>
      <c r="B161" s="26" t="s">
        <v>1060</v>
      </c>
      <c r="C161" s="2">
        <v>19201800310</v>
      </c>
      <c r="D161" s="2">
        <v>11.47</v>
      </c>
      <c r="E161" s="226" t="s">
        <v>420</v>
      </c>
    </row>
    <row r="162" spans="1:5" x14ac:dyDescent="0.25">
      <c r="A162" s="26" t="s">
        <v>1117</v>
      </c>
      <c r="B162" s="26" t="s">
        <v>1060</v>
      </c>
      <c r="C162" s="2">
        <v>19201800327</v>
      </c>
      <c r="D162" s="2">
        <v>11.3</v>
      </c>
      <c r="E162" s="226" t="s">
        <v>420</v>
      </c>
    </row>
    <row r="163" spans="1:5" x14ac:dyDescent="0.25">
      <c r="A163" s="26" t="s">
        <v>1117</v>
      </c>
      <c r="B163" s="26" t="s">
        <v>1060</v>
      </c>
      <c r="C163" s="2">
        <v>19201800312</v>
      </c>
      <c r="D163" s="2">
        <v>10.84</v>
      </c>
      <c r="E163" s="226" t="s">
        <v>420</v>
      </c>
    </row>
    <row r="164" spans="1:5" x14ac:dyDescent="0.25">
      <c r="A164" s="26" t="s">
        <v>1117</v>
      </c>
      <c r="B164" s="26" t="s">
        <v>1060</v>
      </c>
      <c r="C164" s="2">
        <v>19201800306</v>
      </c>
      <c r="D164" s="2">
        <v>9.56</v>
      </c>
      <c r="E164" s="226" t="s">
        <v>420</v>
      </c>
    </row>
    <row r="165" spans="1:5" x14ac:dyDescent="0.25">
      <c r="A165" s="26" t="s">
        <v>1117</v>
      </c>
      <c r="B165" s="26" t="s">
        <v>1060</v>
      </c>
      <c r="C165" s="2">
        <v>19201800339</v>
      </c>
      <c r="D165" s="2">
        <v>8.75</v>
      </c>
      <c r="E165" s="226" t="s">
        <v>420</v>
      </c>
    </row>
    <row r="166" spans="1:5" x14ac:dyDescent="0.25">
      <c r="A166" s="26" t="s">
        <v>1117</v>
      </c>
      <c r="B166" s="26" t="s">
        <v>1060</v>
      </c>
      <c r="C166" s="2">
        <v>19201800325</v>
      </c>
      <c r="D166" s="2">
        <v>7.85</v>
      </c>
      <c r="E166" s="226" t="s">
        <v>420</v>
      </c>
    </row>
    <row r="167" spans="1:5" x14ac:dyDescent="0.25">
      <c r="A167" s="26" t="s">
        <v>1117</v>
      </c>
      <c r="B167" s="26" t="s">
        <v>1059</v>
      </c>
      <c r="C167" s="2">
        <v>19201800315</v>
      </c>
      <c r="D167" s="2">
        <v>12.92</v>
      </c>
      <c r="E167" s="301" t="s">
        <v>419</v>
      </c>
    </row>
    <row r="168" spans="1:5" x14ac:dyDescent="0.25">
      <c r="A168" s="26" t="s">
        <v>1117</v>
      </c>
      <c r="B168" s="26" t="s">
        <v>1058</v>
      </c>
      <c r="C168" s="2">
        <v>19201800309</v>
      </c>
      <c r="D168" s="2">
        <v>13.37</v>
      </c>
      <c r="E168" s="301" t="s">
        <v>419</v>
      </c>
    </row>
    <row r="169" spans="1:5" x14ac:dyDescent="0.25">
      <c r="A169" s="26" t="s">
        <v>1117</v>
      </c>
      <c r="B169" s="26" t="s">
        <v>1058</v>
      </c>
      <c r="C169" s="2">
        <v>19201800302</v>
      </c>
      <c r="D169" s="2">
        <v>13.19</v>
      </c>
      <c r="E169" s="301" t="s">
        <v>419</v>
      </c>
    </row>
    <row r="170" spans="1:5" x14ac:dyDescent="0.25">
      <c r="A170" s="26" t="s">
        <v>1117</v>
      </c>
      <c r="B170" s="26" t="s">
        <v>1058</v>
      </c>
      <c r="C170" s="2">
        <v>19201800314</v>
      </c>
      <c r="D170" s="2">
        <v>13.01</v>
      </c>
      <c r="E170" s="301" t="s">
        <v>419</v>
      </c>
    </row>
    <row r="171" spans="1:5" x14ac:dyDescent="0.25">
      <c r="A171" s="26" t="s">
        <v>1117</v>
      </c>
      <c r="B171" s="26" t="s">
        <v>1058</v>
      </c>
      <c r="C171" s="2">
        <v>19201800313</v>
      </c>
      <c r="D171" s="2">
        <v>11.56</v>
      </c>
      <c r="E171" s="301" t="s">
        <v>419</v>
      </c>
    </row>
    <row r="172" spans="1:5" x14ac:dyDescent="0.25">
      <c r="A172" s="26" t="s">
        <v>1117</v>
      </c>
      <c r="B172" s="26" t="s">
        <v>469</v>
      </c>
      <c r="C172" s="2">
        <v>19201800320</v>
      </c>
      <c r="D172" s="2">
        <v>13.1</v>
      </c>
      <c r="E172" s="301" t="s">
        <v>419</v>
      </c>
    </row>
    <row r="173" spans="1:5" x14ac:dyDescent="0.25">
      <c r="A173" s="26" t="s">
        <v>1117</v>
      </c>
      <c r="B173" s="26" t="s">
        <v>469</v>
      </c>
      <c r="C173" s="2">
        <v>19201800319</v>
      </c>
      <c r="D173" s="2">
        <v>12.83</v>
      </c>
      <c r="E173" s="301" t="s">
        <v>419</v>
      </c>
    </row>
    <row r="174" spans="1:5" x14ac:dyDescent="0.25">
      <c r="A174" s="26" t="s">
        <v>1117</v>
      </c>
      <c r="B174" s="26" t="s">
        <v>469</v>
      </c>
      <c r="C174" s="2">
        <v>19201800269</v>
      </c>
      <c r="D174" s="2">
        <v>12.74</v>
      </c>
      <c r="E174" s="301" t="s">
        <v>419</v>
      </c>
    </row>
    <row r="175" spans="1:5" x14ac:dyDescent="0.25">
      <c r="A175" s="26" t="s">
        <v>1117</v>
      </c>
      <c r="B175" s="26" t="s">
        <v>469</v>
      </c>
      <c r="C175" s="2">
        <v>19201800308</v>
      </c>
      <c r="D175" s="2">
        <v>12.74</v>
      </c>
      <c r="E175" s="301" t="s">
        <v>419</v>
      </c>
    </row>
    <row r="176" spans="1:5" x14ac:dyDescent="0.25">
      <c r="A176" s="26" t="s">
        <v>1117</v>
      </c>
      <c r="B176" s="26" t="s">
        <v>469</v>
      </c>
      <c r="C176" s="2">
        <v>19201800333</v>
      </c>
      <c r="D176" s="2">
        <v>12.38</v>
      </c>
      <c r="E176" s="301" t="s">
        <v>419</v>
      </c>
    </row>
    <row r="177" spans="1:7" x14ac:dyDescent="0.25">
      <c r="A177" s="26" t="s">
        <v>1117</v>
      </c>
      <c r="B177" s="26" t="s">
        <v>469</v>
      </c>
      <c r="C177" s="2">
        <v>19201800304</v>
      </c>
      <c r="D177" s="2">
        <v>12.11</v>
      </c>
      <c r="E177" s="301" t="s">
        <v>419</v>
      </c>
    </row>
    <row r="178" spans="1:7" x14ac:dyDescent="0.25">
      <c r="A178" s="26" t="s">
        <v>1117</v>
      </c>
      <c r="B178" s="26" t="s">
        <v>469</v>
      </c>
      <c r="C178" s="2">
        <v>19201800324</v>
      </c>
      <c r="D178" s="2">
        <v>11.39</v>
      </c>
      <c r="E178" s="301" t="s">
        <v>419</v>
      </c>
    </row>
    <row r="179" spans="1:7" x14ac:dyDescent="0.25">
      <c r="A179" s="26" t="s">
        <v>1117</v>
      </c>
      <c r="B179" s="26" t="s">
        <v>469</v>
      </c>
      <c r="C179" s="2">
        <v>19201800311</v>
      </c>
      <c r="D179" s="2">
        <v>10.84</v>
      </c>
      <c r="E179" s="301" t="s">
        <v>419</v>
      </c>
    </row>
    <row r="180" spans="1:7" x14ac:dyDescent="0.25">
      <c r="A180" s="26" t="s">
        <v>1117</v>
      </c>
      <c r="B180" s="26" t="s">
        <v>469</v>
      </c>
      <c r="C180" s="2">
        <v>19201800335</v>
      </c>
      <c r="D180" s="2">
        <v>10.75</v>
      </c>
      <c r="E180" s="301" t="s">
        <v>419</v>
      </c>
    </row>
    <row r="181" spans="1:7" x14ac:dyDescent="0.25">
      <c r="A181" s="26" t="s">
        <v>1117</v>
      </c>
      <c r="B181" s="26" t="s">
        <v>469</v>
      </c>
      <c r="C181" s="2">
        <v>19201800334</v>
      </c>
      <c r="D181" s="2">
        <v>10.11</v>
      </c>
      <c r="E181" s="301" t="s">
        <v>419</v>
      </c>
    </row>
    <row r="182" spans="1:7" x14ac:dyDescent="0.25">
      <c r="A182" s="26" t="s">
        <v>1117</v>
      </c>
      <c r="B182" s="26" t="s">
        <v>469</v>
      </c>
      <c r="C182" s="2">
        <v>19201800276</v>
      </c>
      <c r="D182" s="2">
        <v>10.1</v>
      </c>
      <c r="E182" s="301" t="s">
        <v>419</v>
      </c>
    </row>
    <row r="183" spans="1:7" x14ac:dyDescent="0.25">
      <c r="A183" s="26" t="s">
        <v>1117</v>
      </c>
      <c r="B183" s="26" t="s">
        <v>469</v>
      </c>
      <c r="C183" s="2">
        <v>19201800323</v>
      </c>
      <c r="D183" s="2">
        <v>9.93</v>
      </c>
      <c r="E183" s="301" t="s">
        <v>419</v>
      </c>
    </row>
    <row r="184" spans="1:7" x14ac:dyDescent="0.25">
      <c r="A184" s="26" t="s">
        <v>1117</v>
      </c>
      <c r="B184" s="26" t="s">
        <v>469</v>
      </c>
      <c r="C184" s="2">
        <v>19201800321</v>
      </c>
      <c r="D184" s="2">
        <v>9.2899999999999991</v>
      </c>
      <c r="E184" s="301" t="s">
        <v>419</v>
      </c>
    </row>
    <row r="185" spans="1:7" x14ac:dyDescent="0.25">
      <c r="A185" s="26" t="s">
        <v>1117</v>
      </c>
      <c r="B185" s="26" t="s">
        <v>469</v>
      </c>
      <c r="C185" s="2">
        <v>19201800332</v>
      </c>
      <c r="D185" s="2">
        <v>8.84</v>
      </c>
      <c r="E185" s="301" t="s">
        <v>419</v>
      </c>
    </row>
    <row r="186" spans="1:7" x14ac:dyDescent="0.25">
      <c r="A186" s="2" t="s">
        <v>1216</v>
      </c>
      <c r="B186" s="26" t="s">
        <v>1060</v>
      </c>
      <c r="C186" s="2">
        <v>19201900975</v>
      </c>
      <c r="D186" s="2">
        <v>14.65</v>
      </c>
      <c r="E186" s="301" t="s">
        <v>419</v>
      </c>
      <c r="F186" s="647"/>
      <c r="G186" s="647"/>
    </row>
    <row r="187" spans="1:7" x14ac:dyDescent="0.25">
      <c r="A187" s="2" t="s">
        <v>1216</v>
      </c>
      <c r="B187" s="26" t="s">
        <v>1060</v>
      </c>
      <c r="C187" s="2">
        <v>19201900965</v>
      </c>
      <c r="D187" s="2">
        <v>14.11</v>
      </c>
      <c r="E187" s="226" t="s">
        <v>420</v>
      </c>
      <c r="F187" s="647"/>
      <c r="G187" s="647"/>
    </row>
    <row r="188" spans="1:7" x14ac:dyDescent="0.25">
      <c r="A188" s="2" t="s">
        <v>1216</v>
      </c>
      <c r="B188" s="26" t="s">
        <v>1060</v>
      </c>
      <c r="C188" s="2">
        <v>19201900982</v>
      </c>
      <c r="D188" s="2">
        <v>13.93</v>
      </c>
      <c r="E188" s="301" t="s">
        <v>419</v>
      </c>
      <c r="F188" s="647"/>
      <c r="G188" s="647"/>
    </row>
    <row r="189" spans="1:7" x14ac:dyDescent="0.25">
      <c r="A189" s="2" t="s">
        <v>1216</v>
      </c>
      <c r="B189" s="26" t="s">
        <v>1060</v>
      </c>
      <c r="C189" s="2">
        <v>19201900985</v>
      </c>
      <c r="D189" s="2">
        <v>13.93</v>
      </c>
      <c r="E189" s="301" t="s">
        <v>419</v>
      </c>
      <c r="F189" s="647"/>
      <c r="G189" s="647"/>
    </row>
    <row r="190" spans="1:7" x14ac:dyDescent="0.25">
      <c r="A190" s="2" t="s">
        <v>1216</v>
      </c>
      <c r="B190" s="26" t="s">
        <v>1060</v>
      </c>
      <c r="C190" s="2">
        <v>19201900983</v>
      </c>
      <c r="D190" s="2">
        <v>13.38</v>
      </c>
      <c r="E190" s="301" t="s">
        <v>419</v>
      </c>
      <c r="F190" s="647"/>
      <c r="G190" s="647"/>
    </row>
    <row r="191" spans="1:7" x14ac:dyDescent="0.25">
      <c r="A191" s="2" t="s">
        <v>1216</v>
      </c>
      <c r="B191" s="26" t="s">
        <v>1060</v>
      </c>
      <c r="C191" s="2">
        <v>19201900979</v>
      </c>
      <c r="D191" s="2">
        <v>13.02</v>
      </c>
      <c r="E191" s="301" t="s">
        <v>419</v>
      </c>
      <c r="F191" s="647"/>
      <c r="G191" s="647"/>
    </row>
    <row r="192" spans="1:7" x14ac:dyDescent="0.25">
      <c r="A192" s="2" t="s">
        <v>1216</v>
      </c>
      <c r="B192" s="26" t="s">
        <v>1060</v>
      </c>
      <c r="C192" s="2">
        <v>19201900981</v>
      </c>
      <c r="D192" s="2">
        <v>12.2</v>
      </c>
      <c r="E192" s="301" t="s">
        <v>419</v>
      </c>
      <c r="F192" s="647"/>
      <c r="G192" s="647"/>
    </row>
    <row r="193" spans="1:7" x14ac:dyDescent="0.25">
      <c r="A193" s="2" t="s">
        <v>1216</v>
      </c>
      <c r="B193" s="26" t="s">
        <v>1060</v>
      </c>
      <c r="C193" s="2">
        <v>19201900980</v>
      </c>
      <c r="D193" s="2">
        <v>11.74</v>
      </c>
      <c r="E193" s="301" t="s">
        <v>419</v>
      </c>
      <c r="F193" s="647"/>
      <c r="G193" s="647"/>
    </row>
    <row r="194" spans="1:7" x14ac:dyDescent="0.25">
      <c r="A194" s="2" t="s">
        <v>1216</v>
      </c>
      <c r="B194" s="26" t="s">
        <v>1060</v>
      </c>
      <c r="C194" s="2">
        <v>19201900967</v>
      </c>
      <c r="D194" s="2">
        <v>11.01</v>
      </c>
      <c r="E194" s="301" t="s">
        <v>419</v>
      </c>
      <c r="F194" s="647"/>
      <c r="G194" s="647"/>
    </row>
    <row r="195" spans="1:7" x14ac:dyDescent="0.25">
      <c r="A195" s="2" t="s">
        <v>1216</v>
      </c>
      <c r="B195" s="26" t="s">
        <v>1060</v>
      </c>
      <c r="C195" s="2">
        <v>19201900964</v>
      </c>
      <c r="D195" s="2">
        <v>10.199999999999999</v>
      </c>
      <c r="E195" s="226" t="s">
        <v>420</v>
      </c>
      <c r="F195" s="647"/>
      <c r="G195" s="647"/>
    </row>
    <row r="196" spans="1:7" x14ac:dyDescent="0.25">
      <c r="A196" s="2" t="s">
        <v>1216</v>
      </c>
      <c r="B196" s="26" t="s">
        <v>1060</v>
      </c>
      <c r="C196" s="2">
        <v>19201900914</v>
      </c>
      <c r="D196" s="2">
        <v>6.75</v>
      </c>
      <c r="E196" s="226" t="s">
        <v>420</v>
      </c>
      <c r="F196" s="647"/>
      <c r="G196" s="647"/>
    </row>
    <row r="197" spans="1:7" x14ac:dyDescent="0.25">
      <c r="A197" s="2" t="s">
        <v>1216</v>
      </c>
      <c r="B197" s="26" t="s">
        <v>469</v>
      </c>
      <c r="C197" s="2">
        <v>19201900969</v>
      </c>
      <c r="D197" s="2">
        <v>13.19</v>
      </c>
      <c r="E197" s="301" t="s">
        <v>419</v>
      </c>
      <c r="F197" s="647"/>
      <c r="G197" s="647"/>
    </row>
    <row r="198" spans="1:7" x14ac:dyDescent="0.25">
      <c r="A198" s="2" t="s">
        <v>1216</v>
      </c>
      <c r="B198" s="26" t="s">
        <v>469</v>
      </c>
      <c r="C198" s="2">
        <v>19201900974</v>
      </c>
      <c r="D198" s="2">
        <v>12.74</v>
      </c>
      <c r="E198" s="301" t="s">
        <v>419</v>
      </c>
      <c r="F198" s="647"/>
      <c r="G198" s="647"/>
    </row>
    <row r="199" spans="1:7" x14ac:dyDescent="0.25">
      <c r="A199" s="2" t="s">
        <v>1216</v>
      </c>
      <c r="B199" s="26" t="s">
        <v>469</v>
      </c>
      <c r="C199" s="2">
        <v>19201900962</v>
      </c>
      <c r="D199" s="2">
        <v>12.38</v>
      </c>
      <c r="E199" s="301" t="s">
        <v>419</v>
      </c>
      <c r="F199" s="647"/>
      <c r="G199" s="647"/>
    </row>
    <row r="200" spans="1:7" x14ac:dyDescent="0.25">
      <c r="A200" s="2" t="s">
        <v>1216</v>
      </c>
      <c r="B200" s="26" t="s">
        <v>469</v>
      </c>
      <c r="C200" s="2">
        <v>19201900952</v>
      </c>
      <c r="D200" s="2">
        <v>12.02</v>
      </c>
      <c r="E200" s="301" t="s">
        <v>419</v>
      </c>
      <c r="F200" s="647"/>
      <c r="G200" s="647"/>
    </row>
    <row r="201" spans="1:7" x14ac:dyDescent="0.25">
      <c r="A201" s="2" t="s">
        <v>1216</v>
      </c>
      <c r="B201" s="26" t="s">
        <v>469</v>
      </c>
      <c r="C201" s="2">
        <v>19201900960</v>
      </c>
      <c r="D201" s="2">
        <v>12.01</v>
      </c>
      <c r="E201" s="301" t="s">
        <v>419</v>
      </c>
      <c r="F201" s="647"/>
      <c r="G201" s="647"/>
    </row>
    <row r="202" spans="1:7" x14ac:dyDescent="0.25">
      <c r="A202" s="2" t="s">
        <v>1216</v>
      </c>
      <c r="B202" s="26" t="s">
        <v>469</v>
      </c>
      <c r="C202" s="2">
        <v>19201900968</v>
      </c>
      <c r="D202" s="2">
        <v>11.84</v>
      </c>
      <c r="E202" s="301" t="s">
        <v>419</v>
      </c>
      <c r="F202" s="647"/>
      <c r="G202" s="647"/>
    </row>
    <row r="203" spans="1:7" x14ac:dyDescent="0.25">
      <c r="A203" s="2" t="s">
        <v>1216</v>
      </c>
      <c r="B203" s="26" t="s">
        <v>469</v>
      </c>
      <c r="C203" s="2">
        <v>19201900970</v>
      </c>
      <c r="D203" s="2">
        <v>11.56</v>
      </c>
      <c r="E203" s="301" t="s">
        <v>419</v>
      </c>
      <c r="F203" s="647"/>
      <c r="G203" s="647"/>
    </row>
    <row r="204" spans="1:7" x14ac:dyDescent="0.25">
      <c r="A204" s="2" t="s">
        <v>1216</v>
      </c>
      <c r="B204" s="26" t="s">
        <v>469</v>
      </c>
      <c r="C204" s="2">
        <v>19201900966</v>
      </c>
      <c r="D204" s="2">
        <v>10.75</v>
      </c>
      <c r="E204" s="301" t="s">
        <v>419</v>
      </c>
      <c r="F204" s="647"/>
      <c r="G204" s="647"/>
    </row>
    <row r="205" spans="1:7" x14ac:dyDescent="0.25">
      <c r="A205" s="2" t="s">
        <v>1216</v>
      </c>
      <c r="B205" s="26" t="s">
        <v>469</v>
      </c>
      <c r="C205" s="2">
        <v>19201900953</v>
      </c>
      <c r="D205" s="2">
        <v>10.65</v>
      </c>
      <c r="E205" s="301" t="s">
        <v>419</v>
      </c>
      <c r="F205" s="647"/>
      <c r="G205" s="647"/>
    </row>
    <row r="206" spans="1:7" x14ac:dyDescent="0.25">
      <c r="A206" s="2" t="s">
        <v>1216</v>
      </c>
      <c r="B206" s="26" t="s">
        <v>469</v>
      </c>
      <c r="C206" s="2">
        <v>19201900984</v>
      </c>
      <c r="D206" s="2">
        <v>10.39</v>
      </c>
      <c r="E206" s="301" t="s">
        <v>419</v>
      </c>
      <c r="F206" s="647"/>
      <c r="G206" s="647"/>
    </row>
    <row r="207" spans="1:7" x14ac:dyDescent="0.25">
      <c r="A207" s="2" t="s">
        <v>1216</v>
      </c>
      <c r="B207" s="26" t="s">
        <v>469</v>
      </c>
      <c r="C207" s="2">
        <v>19201900961</v>
      </c>
      <c r="D207" s="2">
        <v>9.1999999999999993</v>
      </c>
      <c r="E207" s="301" t="s">
        <v>419</v>
      </c>
      <c r="F207" s="647"/>
      <c r="G207" s="647"/>
    </row>
    <row r="208" spans="1:7" x14ac:dyDescent="0.25">
      <c r="A208" s="2" t="s">
        <v>1216</v>
      </c>
      <c r="B208" s="26" t="s">
        <v>469</v>
      </c>
      <c r="C208" s="2">
        <v>19201900973</v>
      </c>
      <c r="D208" s="2">
        <v>8.1999999999999993</v>
      </c>
      <c r="E208" s="301" t="s">
        <v>419</v>
      </c>
      <c r="F208" s="647"/>
      <c r="G208" s="647"/>
    </row>
    <row r="209" spans="1:7" x14ac:dyDescent="0.25">
      <c r="A209" s="2" t="s">
        <v>1216</v>
      </c>
      <c r="B209" s="26" t="s">
        <v>469</v>
      </c>
      <c r="C209" s="2">
        <v>19201900972</v>
      </c>
      <c r="D209" s="2">
        <v>6.39</v>
      </c>
      <c r="E209" s="226" t="s">
        <v>420</v>
      </c>
      <c r="F209" s="647"/>
      <c r="G209" s="647"/>
    </row>
    <row r="210" spans="1:7" x14ac:dyDescent="0.25">
      <c r="A210" s="2" t="s">
        <v>1216</v>
      </c>
      <c r="B210" s="791" t="s">
        <v>469</v>
      </c>
      <c r="C210" s="629">
        <v>19201900976</v>
      </c>
      <c r="D210" s="629">
        <v>6.38</v>
      </c>
      <c r="E210" s="683" t="s">
        <v>420</v>
      </c>
      <c r="F210" s="647"/>
      <c r="G210" s="647"/>
    </row>
    <row r="211" spans="1:7" x14ac:dyDescent="0.25">
      <c r="A211" s="2" t="s">
        <v>1216</v>
      </c>
      <c r="B211" s="791" t="s">
        <v>469</v>
      </c>
      <c r="C211" s="629">
        <v>19201900978</v>
      </c>
      <c r="D211" s="629">
        <v>3.67</v>
      </c>
      <c r="E211" s="683" t="s">
        <v>420</v>
      </c>
      <c r="F211" s="647"/>
      <c r="G211" s="647"/>
    </row>
    <row r="212" spans="1:7" x14ac:dyDescent="0.25">
      <c r="A212" s="790" t="s">
        <v>1268</v>
      </c>
      <c r="B212" s="792" t="s">
        <v>469</v>
      </c>
      <c r="C212" s="754">
        <v>19202000749</v>
      </c>
      <c r="D212" s="783">
        <v>13.01</v>
      </c>
      <c r="E212" s="701" t="s">
        <v>419</v>
      </c>
    </row>
    <row r="213" spans="1:7" x14ac:dyDescent="0.25">
      <c r="A213" s="790" t="s">
        <v>1268</v>
      </c>
      <c r="B213" s="792" t="s">
        <v>469</v>
      </c>
      <c r="C213" s="753">
        <v>19202000752</v>
      </c>
      <c r="D213" s="786">
        <v>12.74</v>
      </c>
      <c r="E213" s="701" t="s">
        <v>419</v>
      </c>
    </row>
    <row r="214" spans="1:7" x14ac:dyDescent="0.25">
      <c r="A214" s="790" t="s">
        <v>1268</v>
      </c>
      <c r="B214" s="792" t="s">
        <v>469</v>
      </c>
      <c r="C214" s="753">
        <v>19202000771</v>
      </c>
      <c r="D214" s="786">
        <v>12.74</v>
      </c>
      <c r="E214" s="701" t="s">
        <v>419</v>
      </c>
    </row>
    <row r="215" spans="1:7" x14ac:dyDescent="0.25">
      <c r="A215" s="790" t="s">
        <v>1268</v>
      </c>
      <c r="B215" s="792" t="s">
        <v>469</v>
      </c>
      <c r="C215" s="753">
        <v>19202000751</v>
      </c>
      <c r="D215" s="786">
        <v>12.65</v>
      </c>
      <c r="E215" s="701" t="s">
        <v>419</v>
      </c>
    </row>
    <row r="216" spans="1:7" x14ac:dyDescent="0.25">
      <c r="A216" s="790" t="s">
        <v>1268</v>
      </c>
      <c r="B216" s="792" t="s">
        <v>469</v>
      </c>
      <c r="C216" s="753">
        <v>19202000760</v>
      </c>
      <c r="D216" s="786">
        <v>12.56</v>
      </c>
      <c r="E216" s="701" t="s">
        <v>419</v>
      </c>
    </row>
    <row r="217" spans="1:7" x14ac:dyDescent="0.25">
      <c r="A217" s="790" t="s">
        <v>1268</v>
      </c>
      <c r="B217" s="792" t="s">
        <v>469</v>
      </c>
      <c r="C217" s="753">
        <v>19202000747</v>
      </c>
      <c r="D217" s="786">
        <v>12.38</v>
      </c>
      <c r="E217" s="701" t="s">
        <v>419</v>
      </c>
    </row>
    <row r="218" spans="1:7" x14ac:dyDescent="0.25">
      <c r="A218" s="790" t="s">
        <v>1268</v>
      </c>
      <c r="B218" s="792" t="s">
        <v>469</v>
      </c>
      <c r="C218" s="753">
        <v>19202000748</v>
      </c>
      <c r="D218" s="786">
        <v>12.2</v>
      </c>
      <c r="E218" s="701" t="s">
        <v>419</v>
      </c>
    </row>
    <row r="219" spans="1:7" x14ac:dyDescent="0.25">
      <c r="A219" s="790" t="s">
        <v>1268</v>
      </c>
      <c r="B219" s="792" t="s">
        <v>469</v>
      </c>
      <c r="C219" s="754">
        <v>19202000759</v>
      </c>
      <c r="D219" s="783">
        <v>11.74</v>
      </c>
      <c r="E219" s="701" t="s">
        <v>419</v>
      </c>
    </row>
    <row r="220" spans="1:7" x14ac:dyDescent="0.25">
      <c r="A220" s="790" t="s">
        <v>1268</v>
      </c>
      <c r="B220" s="792" t="s">
        <v>469</v>
      </c>
      <c r="C220" s="754">
        <v>19202000765</v>
      </c>
      <c r="D220" s="783">
        <v>11.65</v>
      </c>
      <c r="E220" s="683" t="s">
        <v>420</v>
      </c>
    </row>
    <row r="221" spans="1:7" x14ac:dyDescent="0.25">
      <c r="A221" s="790" t="s">
        <v>1268</v>
      </c>
      <c r="B221" s="792" t="s">
        <v>469</v>
      </c>
      <c r="C221" s="754">
        <v>19202000753</v>
      </c>
      <c r="D221" s="783">
        <v>11.56</v>
      </c>
      <c r="E221" s="683" t="s">
        <v>420</v>
      </c>
    </row>
    <row r="222" spans="1:7" x14ac:dyDescent="0.25">
      <c r="A222" s="790" t="s">
        <v>1268</v>
      </c>
      <c r="B222" s="792" t="s">
        <v>469</v>
      </c>
      <c r="C222" s="754">
        <v>19202000775</v>
      </c>
      <c r="D222" s="783">
        <v>11.02</v>
      </c>
      <c r="E222" s="683" t="s">
        <v>420</v>
      </c>
    </row>
    <row r="223" spans="1:7" x14ac:dyDescent="0.25">
      <c r="A223" s="790" t="s">
        <v>1268</v>
      </c>
      <c r="B223" s="792" t="s">
        <v>469</v>
      </c>
      <c r="C223" s="754">
        <v>19202000758</v>
      </c>
      <c r="D223" s="783">
        <v>10.65</v>
      </c>
      <c r="E223" s="683" t="s">
        <v>420</v>
      </c>
    </row>
    <row r="224" spans="1:7" x14ac:dyDescent="0.25">
      <c r="A224" s="790" t="s">
        <v>1268</v>
      </c>
      <c r="B224" s="792" t="s">
        <v>469</v>
      </c>
      <c r="C224" s="754">
        <v>19202000762</v>
      </c>
      <c r="D224" s="783">
        <v>10.56</v>
      </c>
      <c r="E224" s="683" t="s">
        <v>420</v>
      </c>
    </row>
    <row r="225" spans="1:5" x14ac:dyDescent="0.25">
      <c r="A225" s="790" t="s">
        <v>1268</v>
      </c>
      <c r="B225" s="792" t="s">
        <v>469</v>
      </c>
      <c r="C225" s="754">
        <v>19202000764</v>
      </c>
      <c r="D225" s="783">
        <v>10.01</v>
      </c>
      <c r="E225" s="683" t="s">
        <v>420</v>
      </c>
    </row>
    <row r="226" spans="1:5" x14ac:dyDescent="0.25">
      <c r="A226" s="790" t="s">
        <v>1268</v>
      </c>
      <c r="B226" s="792" t="s">
        <v>469</v>
      </c>
      <c r="C226" s="754">
        <v>19202000755</v>
      </c>
      <c r="D226" s="783">
        <v>9.1999999999999993</v>
      </c>
      <c r="E226" s="683" t="s">
        <v>420</v>
      </c>
    </row>
    <row r="227" spans="1:5" x14ac:dyDescent="0.25">
      <c r="A227" s="790" t="s">
        <v>1268</v>
      </c>
      <c r="B227" s="792" t="s">
        <v>469</v>
      </c>
      <c r="C227" s="754">
        <v>19202000774</v>
      </c>
      <c r="D227" s="783">
        <v>9.01</v>
      </c>
      <c r="E227" s="683" t="s">
        <v>420</v>
      </c>
    </row>
    <row r="228" spans="1:5" x14ac:dyDescent="0.25">
      <c r="A228" s="790" t="s">
        <v>1268</v>
      </c>
      <c r="B228" s="804" t="s">
        <v>469</v>
      </c>
      <c r="C228" s="762">
        <v>19202000769</v>
      </c>
      <c r="D228" s="805">
        <v>5.75</v>
      </c>
      <c r="E228" s="736" t="s">
        <v>420</v>
      </c>
    </row>
    <row r="229" spans="1:5" x14ac:dyDescent="0.25">
      <c r="A229" s="181" t="s">
        <v>1268</v>
      </c>
      <c r="B229" s="800" t="s">
        <v>1060</v>
      </c>
      <c r="C229" s="754">
        <v>19202000773</v>
      </c>
      <c r="D229" s="761">
        <v>15.38</v>
      </c>
      <c r="E229" s="701" t="s">
        <v>419</v>
      </c>
    </row>
    <row r="230" spans="1:5" x14ac:dyDescent="0.25">
      <c r="A230" s="181" t="s">
        <v>1268</v>
      </c>
      <c r="B230" s="800" t="s">
        <v>1060</v>
      </c>
      <c r="C230" s="754">
        <v>19202000761</v>
      </c>
      <c r="D230" s="761">
        <v>14.83</v>
      </c>
      <c r="E230" s="701" t="s">
        <v>419</v>
      </c>
    </row>
    <row r="231" spans="1:5" x14ac:dyDescent="0.25">
      <c r="A231" s="181" t="s">
        <v>1268</v>
      </c>
      <c r="B231" s="800" t="s">
        <v>1060</v>
      </c>
      <c r="C231" s="754">
        <v>19202000772</v>
      </c>
      <c r="D231" s="761">
        <v>14.65</v>
      </c>
      <c r="E231" s="701" t="s">
        <v>419</v>
      </c>
    </row>
    <row r="232" spans="1:5" x14ac:dyDescent="0.25">
      <c r="A232" s="181" t="s">
        <v>1268</v>
      </c>
      <c r="B232" s="800" t="s">
        <v>1060</v>
      </c>
      <c r="C232" s="754">
        <v>19202000750</v>
      </c>
      <c r="D232" s="761">
        <v>14.56</v>
      </c>
      <c r="E232" s="701" t="s">
        <v>419</v>
      </c>
    </row>
    <row r="233" spans="1:5" x14ac:dyDescent="0.25">
      <c r="A233" s="181" t="s">
        <v>1268</v>
      </c>
      <c r="B233" s="800" t="s">
        <v>1060</v>
      </c>
      <c r="C233" s="754">
        <v>19202000779</v>
      </c>
      <c r="D233" s="761">
        <v>14.28</v>
      </c>
      <c r="E233" s="701" t="s">
        <v>419</v>
      </c>
    </row>
    <row r="234" spans="1:5" x14ac:dyDescent="0.25">
      <c r="A234" s="181" t="s">
        <v>1268</v>
      </c>
      <c r="B234" s="800" t="s">
        <v>1060</v>
      </c>
      <c r="C234" s="754">
        <v>19202000778</v>
      </c>
      <c r="D234" s="761">
        <v>14.01</v>
      </c>
      <c r="E234" s="701" t="s">
        <v>419</v>
      </c>
    </row>
    <row r="235" spans="1:5" x14ac:dyDescent="0.25">
      <c r="A235" s="181" t="s">
        <v>1268</v>
      </c>
      <c r="B235" s="800" t="s">
        <v>1060</v>
      </c>
      <c r="C235" s="754">
        <v>19202000780</v>
      </c>
      <c r="D235" s="761">
        <v>13.83</v>
      </c>
      <c r="E235" s="701" t="s">
        <v>419</v>
      </c>
    </row>
    <row r="236" spans="1:5" x14ac:dyDescent="0.25">
      <c r="A236" s="181" t="s">
        <v>1268</v>
      </c>
      <c r="B236" s="800" t="s">
        <v>1060</v>
      </c>
      <c r="C236" s="754">
        <v>19202000766</v>
      </c>
      <c r="D236" s="761">
        <v>13.56</v>
      </c>
      <c r="E236" s="701" t="s">
        <v>419</v>
      </c>
    </row>
    <row r="237" spans="1:5" x14ac:dyDescent="0.25">
      <c r="A237" s="181" t="s">
        <v>1268</v>
      </c>
      <c r="B237" s="800" t="s">
        <v>1060</v>
      </c>
      <c r="C237" s="754">
        <v>19202000777</v>
      </c>
      <c r="D237" s="761">
        <v>13.2</v>
      </c>
      <c r="E237" s="701" t="s">
        <v>419</v>
      </c>
    </row>
    <row r="238" spans="1:5" x14ac:dyDescent="0.25">
      <c r="A238" s="181" t="s">
        <v>1268</v>
      </c>
      <c r="B238" s="800" t="s">
        <v>1060</v>
      </c>
      <c r="C238" s="754">
        <v>19202000754</v>
      </c>
      <c r="D238" s="761">
        <v>13.02</v>
      </c>
      <c r="E238" s="683" t="s">
        <v>420</v>
      </c>
    </row>
    <row r="239" spans="1:5" x14ac:dyDescent="0.25">
      <c r="A239" s="181" t="s">
        <v>1268</v>
      </c>
      <c r="B239" s="800" t="s">
        <v>1060</v>
      </c>
      <c r="C239" s="754">
        <v>19202000763</v>
      </c>
      <c r="D239" s="761">
        <v>12.29</v>
      </c>
      <c r="E239" s="683" t="s">
        <v>420</v>
      </c>
    </row>
    <row r="240" spans="1:5" x14ac:dyDescent="0.25">
      <c r="A240" s="181" t="s">
        <v>1268</v>
      </c>
      <c r="B240" s="800" t="s">
        <v>1060</v>
      </c>
      <c r="C240" s="754">
        <v>19202000767</v>
      </c>
      <c r="D240" s="761">
        <v>11.92</v>
      </c>
      <c r="E240" s="683" t="s">
        <v>420</v>
      </c>
    </row>
    <row r="241" spans="1:5" x14ac:dyDescent="0.25">
      <c r="A241" s="181" t="s">
        <v>1268</v>
      </c>
      <c r="B241" s="800" t="s">
        <v>1060</v>
      </c>
      <c r="C241" s="754">
        <v>19202000757</v>
      </c>
      <c r="D241" s="761">
        <v>9.83</v>
      </c>
      <c r="E241" s="683" t="s">
        <v>420</v>
      </c>
    </row>
    <row r="242" spans="1:5" x14ac:dyDescent="0.25">
      <c r="A242" s="806" t="s">
        <v>1268</v>
      </c>
      <c r="B242" s="807" t="s">
        <v>1060</v>
      </c>
      <c r="C242" s="809">
        <v>19202000776</v>
      </c>
      <c r="D242" s="808">
        <v>0</v>
      </c>
      <c r="E242" s="683" t="s">
        <v>420</v>
      </c>
    </row>
    <row r="243" spans="1:5" x14ac:dyDescent="0.25">
      <c r="A243" s="181" t="s">
        <v>1268</v>
      </c>
      <c r="B243" s="800" t="s">
        <v>1060</v>
      </c>
      <c r="C243" s="754">
        <v>19202000770</v>
      </c>
      <c r="D243" s="655">
        <v>0</v>
      </c>
      <c r="E243" s="683" t="s">
        <v>420</v>
      </c>
    </row>
    <row r="244" spans="1:5" x14ac:dyDescent="0.25">
      <c r="A244" s="2" t="s">
        <v>1305</v>
      </c>
      <c r="B244" s="2" t="s">
        <v>1306</v>
      </c>
      <c r="C244" s="30">
        <v>19202100269</v>
      </c>
      <c r="D244" s="2">
        <v>13.1</v>
      </c>
      <c r="E244" s="701" t="s">
        <v>419</v>
      </c>
    </row>
    <row r="245" spans="1:5" x14ac:dyDescent="0.25">
      <c r="A245" s="2" t="s">
        <v>1305</v>
      </c>
      <c r="B245" s="2" t="s">
        <v>1306</v>
      </c>
      <c r="C245" s="30">
        <v>19202100172</v>
      </c>
      <c r="D245" s="2">
        <v>12.56</v>
      </c>
      <c r="E245" s="701" t="s">
        <v>419</v>
      </c>
    </row>
    <row r="246" spans="1:5" x14ac:dyDescent="0.25">
      <c r="A246" s="2" t="s">
        <v>1305</v>
      </c>
      <c r="B246" s="2" t="s">
        <v>1306</v>
      </c>
      <c r="C246" s="30">
        <v>19202100276</v>
      </c>
      <c r="D246" s="2">
        <v>12.29</v>
      </c>
      <c r="E246" s="701" t="s">
        <v>419</v>
      </c>
    </row>
    <row r="247" spans="1:5" x14ac:dyDescent="0.25">
      <c r="A247" s="2" t="s">
        <v>1305</v>
      </c>
      <c r="B247" s="2" t="s">
        <v>1306</v>
      </c>
      <c r="C247" s="30">
        <v>19202100283</v>
      </c>
      <c r="D247" s="2">
        <v>12.29</v>
      </c>
      <c r="E247" s="701" t="s">
        <v>419</v>
      </c>
    </row>
    <row r="248" spans="1:5" x14ac:dyDescent="0.25">
      <c r="A248" s="2" t="s">
        <v>1305</v>
      </c>
      <c r="B248" s="2" t="s">
        <v>1306</v>
      </c>
      <c r="C248" s="30">
        <v>19202100277</v>
      </c>
      <c r="D248" s="2">
        <v>12.2</v>
      </c>
      <c r="E248" s="701" t="s">
        <v>419</v>
      </c>
    </row>
    <row r="249" spans="1:5" x14ac:dyDescent="0.25">
      <c r="A249" s="2" t="s">
        <v>1305</v>
      </c>
      <c r="B249" s="2" t="s">
        <v>1306</v>
      </c>
      <c r="C249" s="30">
        <v>19202100221</v>
      </c>
      <c r="D249" s="2">
        <v>12.01</v>
      </c>
      <c r="E249" s="701" t="s">
        <v>419</v>
      </c>
    </row>
    <row r="250" spans="1:5" x14ac:dyDescent="0.25">
      <c r="A250" s="2" t="s">
        <v>1305</v>
      </c>
      <c r="B250" s="2" t="s">
        <v>1306</v>
      </c>
      <c r="C250" s="30">
        <v>19202100280</v>
      </c>
      <c r="D250" s="2">
        <v>11.93</v>
      </c>
      <c r="E250" s="701" t="s">
        <v>419</v>
      </c>
    </row>
    <row r="251" spans="1:5" x14ac:dyDescent="0.25">
      <c r="A251" s="2" t="s">
        <v>1305</v>
      </c>
      <c r="B251" s="2" t="s">
        <v>1306</v>
      </c>
      <c r="C251" s="30">
        <v>19202100274</v>
      </c>
      <c r="D251" s="2">
        <v>11.83</v>
      </c>
      <c r="E251" s="701" t="s">
        <v>419</v>
      </c>
    </row>
    <row r="252" spans="1:5" x14ac:dyDescent="0.25">
      <c r="A252" s="2" t="s">
        <v>1305</v>
      </c>
      <c r="B252" s="2" t="s">
        <v>1306</v>
      </c>
      <c r="C252" s="30">
        <v>19202100251</v>
      </c>
      <c r="D252" s="2">
        <v>11.66</v>
      </c>
      <c r="E252" s="701" t="s">
        <v>419</v>
      </c>
    </row>
    <row r="253" spans="1:5" x14ac:dyDescent="0.25">
      <c r="A253" s="2" t="s">
        <v>1305</v>
      </c>
      <c r="B253" s="2" t="s">
        <v>1306</v>
      </c>
      <c r="C253" s="30">
        <v>19202100262</v>
      </c>
      <c r="D253" s="2">
        <v>11.56</v>
      </c>
      <c r="E253" s="701" t="s">
        <v>419</v>
      </c>
    </row>
    <row r="254" spans="1:5" x14ac:dyDescent="0.25">
      <c r="A254" s="2" t="s">
        <v>1305</v>
      </c>
      <c r="B254" s="2" t="s">
        <v>1306</v>
      </c>
      <c r="C254" s="30">
        <v>19202100286</v>
      </c>
      <c r="D254" s="2">
        <v>10.74</v>
      </c>
      <c r="E254" s="701" t="s">
        <v>419</v>
      </c>
    </row>
    <row r="255" spans="1:5" x14ac:dyDescent="0.25">
      <c r="A255" s="2" t="s">
        <v>1305</v>
      </c>
      <c r="B255" s="2" t="s">
        <v>1306</v>
      </c>
      <c r="C255" s="30">
        <v>19202100268</v>
      </c>
      <c r="D255" s="2">
        <v>10.02</v>
      </c>
      <c r="E255" s="701" t="s">
        <v>419</v>
      </c>
    </row>
    <row r="256" spans="1:5" x14ac:dyDescent="0.25">
      <c r="A256" s="2" t="s">
        <v>1305</v>
      </c>
      <c r="B256" s="2" t="s">
        <v>1306</v>
      </c>
      <c r="C256" s="30">
        <v>19202100281</v>
      </c>
      <c r="D256" s="2">
        <v>10.57</v>
      </c>
      <c r="E256" s="683" t="s">
        <v>420</v>
      </c>
    </row>
    <row r="257" spans="1:5" x14ac:dyDescent="0.25">
      <c r="A257" s="2" t="s">
        <v>1305</v>
      </c>
      <c r="B257" s="2" t="s">
        <v>1306</v>
      </c>
      <c r="C257" s="30">
        <v>19202100272</v>
      </c>
      <c r="D257" s="2">
        <v>10.02</v>
      </c>
      <c r="E257" s="683" t="s">
        <v>420</v>
      </c>
    </row>
    <row r="258" spans="1:5" x14ac:dyDescent="0.25">
      <c r="A258" s="2" t="s">
        <v>1305</v>
      </c>
      <c r="B258" s="2" t="s">
        <v>1306</v>
      </c>
      <c r="C258" s="30">
        <v>19202100265</v>
      </c>
      <c r="D258" s="2">
        <v>9.48</v>
      </c>
      <c r="E258" s="683" t="s">
        <v>420</v>
      </c>
    </row>
    <row r="259" spans="1:5" x14ac:dyDescent="0.25">
      <c r="A259" s="2" t="s">
        <v>1305</v>
      </c>
      <c r="B259" s="2" t="s">
        <v>1306</v>
      </c>
      <c r="C259" s="30">
        <v>19202100238</v>
      </c>
      <c r="D259" s="2">
        <v>8.48</v>
      </c>
      <c r="E259" s="683" t="s">
        <v>420</v>
      </c>
    </row>
    <row r="260" spans="1:5" x14ac:dyDescent="0.25">
      <c r="A260" s="2" t="s">
        <v>1305</v>
      </c>
      <c r="B260" s="2" t="s">
        <v>1306</v>
      </c>
      <c r="C260" s="30">
        <v>19202100285</v>
      </c>
      <c r="D260" s="2">
        <v>8.2899999999999991</v>
      </c>
      <c r="E260" s="683" t="s">
        <v>420</v>
      </c>
    </row>
    <row r="261" spans="1:5" x14ac:dyDescent="0.25">
      <c r="A261" s="2" t="s">
        <v>1305</v>
      </c>
      <c r="B261" s="2" t="s">
        <v>1306</v>
      </c>
      <c r="C261" s="30">
        <v>19202100261</v>
      </c>
      <c r="D261" s="2">
        <v>7.48</v>
      </c>
      <c r="E261" s="683" t="s">
        <v>420</v>
      </c>
    </row>
    <row r="262" spans="1:5" x14ac:dyDescent="0.25">
      <c r="A262" s="2" t="s">
        <v>1305</v>
      </c>
      <c r="B262" s="2" t="s">
        <v>1306</v>
      </c>
      <c r="C262" s="30">
        <v>19202100287</v>
      </c>
      <c r="D262" s="2">
        <v>6.3</v>
      </c>
      <c r="E262" s="683" t="s">
        <v>420</v>
      </c>
    </row>
    <row r="263" spans="1:5" x14ac:dyDescent="0.25">
      <c r="A263" s="2" t="s">
        <v>1305</v>
      </c>
      <c r="B263" s="2" t="s">
        <v>1307</v>
      </c>
      <c r="C263" s="2">
        <v>19202100259</v>
      </c>
      <c r="D263" s="2">
        <v>12.92</v>
      </c>
      <c r="E263" s="701" t="s">
        <v>419</v>
      </c>
    </row>
    <row r="264" spans="1:5" x14ac:dyDescent="0.25">
      <c r="A264" s="2" t="s">
        <v>1305</v>
      </c>
      <c r="B264" s="2" t="s">
        <v>1307</v>
      </c>
      <c r="C264" s="2">
        <v>19202100257</v>
      </c>
      <c r="D264" s="2">
        <v>12.65</v>
      </c>
      <c r="E264" s="701" t="s">
        <v>419</v>
      </c>
    </row>
    <row r="265" spans="1:5" x14ac:dyDescent="0.25">
      <c r="A265" s="2" t="s">
        <v>1305</v>
      </c>
      <c r="B265" s="2" t="s">
        <v>1307</v>
      </c>
      <c r="C265" s="2">
        <v>19202100181</v>
      </c>
      <c r="D265" s="2">
        <v>12.47</v>
      </c>
      <c r="E265" s="701" t="s">
        <v>419</v>
      </c>
    </row>
    <row r="266" spans="1:5" x14ac:dyDescent="0.25">
      <c r="A266" s="2" t="s">
        <v>1305</v>
      </c>
      <c r="B266" s="2" t="s">
        <v>1307</v>
      </c>
      <c r="C266" s="2">
        <v>19202100270</v>
      </c>
      <c r="D266" s="2">
        <v>12.38</v>
      </c>
      <c r="E266" s="701" t="s">
        <v>419</v>
      </c>
    </row>
    <row r="267" spans="1:5" x14ac:dyDescent="0.25">
      <c r="A267" s="2" t="s">
        <v>1305</v>
      </c>
      <c r="B267" s="2" t="s">
        <v>1307</v>
      </c>
      <c r="C267" s="2">
        <v>19202100273</v>
      </c>
      <c r="D267" s="2">
        <v>12.38</v>
      </c>
      <c r="E267" s="701" t="s">
        <v>419</v>
      </c>
    </row>
    <row r="268" spans="1:5" x14ac:dyDescent="0.25">
      <c r="A268" s="2" t="s">
        <v>1305</v>
      </c>
      <c r="B268" s="2" t="s">
        <v>1307</v>
      </c>
      <c r="C268" s="2">
        <v>19202100179</v>
      </c>
      <c r="D268" s="2">
        <v>12.29</v>
      </c>
      <c r="E268" s="701" t="s">
        <v>419</v>
      </c>
    </row>
    <row r="269" spans="1:5" x14ac:dyDescent="0.25">
      <c r="A269" s="2" t="s">
        <v>1305</v>
      </c>
      <c r="B269" s="2" t="s">
        <v>1307</v>
      </c>
      <c r="C269" s="2">
        <v>19202100260</v>
      </c>
      <c r="D269" s="2">
        <v>12.01</v>
      </c>
      <c r="E269" s="701" t="s">
        <v>419</v>
      </c>
    </row>
    <row r="270" spans="1:5" x14ac:dyDescent="0.25">
      <c r="A270" s="2" t="s">
        <v>1305</v>
      </c>
      <c r="B270" s="2" t="s">
        <v>1307</v>
      </c>
      <c r="C270" s="2">
        <v>19202100278</v>
      </c>
      <c r="D270" s="2">
        <v>11.93</v>
      </c>
      <c r="E270" s="701" t="s">
        <v>419</v>
      </c>
    </row>
    <row r="271" spans="1:5" x14ac:dyDescent="0.25">
      <c r="A271" s="2" t="s">
        <v>1305</v>
      </c>
      <c r="B271" s="2" t="s">
        <v>1307</v>
      </c>
      <c r="C271" s="2">
        <v>19202100266</v>
      </c>
      <c r="D271" s="2">
        <v>11.65</v>
      </c>
      <c r="E271" s="701" t="s">
        <v>419</v>
      </c>
    </row>
    <row r="272" spans="1:5" x14ac:dyDescent="0.25">
      <c r="A272" s="2" t="s">
        <v>1305</v>
      </c>
      <c r="B272" s="2" t="s">
        <v>1307</v>
      </c>
      <c r="C272" s="2">
        <v>19202100267</v>
      </c>
      <c r="D272" s="2">
        <v>11.2</v>
      </c>
      <c r="E272" s="701" t="s">
        <v>419</v>
      </c>
    </row>
    <row r="273" spans="1:5" x14ac:dyDescent="0.25">
      <c r="A273" s="2" t="s">
        <v>1305</v>
      </c>
      <c r="B273" s="2" t="s">
        <v>1307</v>
      </c>
      <c r="C273" s="2">
        <v>19202100279</v>
      </c>
      <c r="D273" s="2">
        <v>11.12</v>
      </c>
      <c r="E273" s="701" t="s">
        <v>419</v>
      </c>
    </row>
    <row r="274" spans="1:5" x14ac:dyDescent="0.25">
      <c r="A274" s="2" t="s">
        <v>1305</v>
      </c>
      <c r="B274" s="2" t="s">
        <v>1307</v>
      </c>
      <c r="C274" s="2">
        <v>19202100282</v>
      </c>
      <c r="D274" s="2">
        <v>10.93</v>
      </c>
      <c r="E274" s="701" t="s">
        <v>419</v>
      </c>
    </row>
    <row r="275" spans="1:5" x14ac:dyDescent="0.25">
      <c r="A275" s="2" t="s">
        <v>1305</v>
      </c>
      <c r="B275" s="2" t="s">
        <v>1307</v>
      </c>
      <c r="C275" s="2">
        <v>19202100256</v>
      </c>
      <c r="D275" s="2">
        <v>10.199999999999999</v>
      </c>
      <c r="E275" s="701" t="s">
        <v>419</v>
      </c>
    </row>
    <row r="276" spans="1:5" x14ac:dyDescent="0.25">
      <c r="A276" s="2" t="s">
        <v>1305</v>
      </c>
      <c r="B276" s="2" t="s">
        <v>1307</v>
      </c>
      <c r="C276" s="2">
        <v>19202100271</v>
      </c>
      <c r="D276" s="2">
        <v>10.199999999999999</v>
      </c>
      <c r="E276" s="701" t="s">
        <v>419</v>
      </c>
    </row>
    <row r="277" spans="1:5" x14ac:dyDescent="0.25">
      <c r="A277" s="2" t="s">
        <v>1305</v>
      </c>
      <c r="B277" s="2" t="s">
        <v>1307</v>
      </c>
      <c r="C277" s="2">
        <v>19202100284</v>
      </c>
      <c r="D277" s="2">
        <v>10.02</v>
      </c>
      <c r="E277" s="683" t="s">
        <v>420</v>
      </c>
    </row>
    <row r="278" spans="1:5" x14ac:dyDescent="0.25">
      <c r="A278" s="2" t="s">
        <v>1305</v>
      </c>
      <c r="B278" s="2" t="s">
        <v>1307</v>
      </c>
      <c r="C278" s="2">
        <v>19202100224</v>
      </c>
      <c r="D278" s="2">
        <v>9.3800000000000008</v>
      </c>
      <c r="E278" s="683" t="s">
        <v>420</v>
      </c>
    </row>
    <row r="279" spans="1:5" x14ac:dyDescent="0.25">
      <c r="A279" s="2" t="s">
        <v>1305</v>
      </c>
      <c r="B279" s="2" t="s">
        <v>1307</v>
      </c>
      <c r="C279" s="2">
        <v>19202100247</v>
      </c>
      <c r="D279" s="2">
        <v>9.3000000000000007</v>
      </c>
      <c r="E279" s="683" t="s">
        <v>420</v>
      </c>
    </row>
    <row r="280" spans="1:5" x14ac:dyDescent="0.25">
      <c r="A280" s="2" t="s">
        <v>1305</v>
      </c>
      <c r="B280" s="2" t="s">
        <v>1307</v>
      </c>
      <c r="C280" s="2">
        <v>19202100233</v>
      </c>
      <c r="D280" s="2">
        <v>6.66</v>
      </c>
      <c r="E280" s="683" t="s">
        <v>420</v>
      </c>
    </row>
    <row r="281" spans="1:5" x14ac:dyDescent="0.25">
      <c r="A281" s="181" t="s">
        <v>1372</v>
      </c>
      <c r="B281" s="2" t="s">
        <v>1307</v>
      </c>
      <c r="C281" s="2">
        <v>19202100787</v>
      </c>
      <c r="D281" s="2">
        <v>13.01</v>
      </c>
      <c r="E281" s="701" t="s">
        <v>419</v>
      </c>
    </row>
    <row r="282" spans="1:5" x14ac:dyDescent="0.25">
      <c r="A282" s="181" t="s">
        <v>1372</v>
      </c>
      <c r="B282" s="2" t="s">
        <v>1307</v>
      </c>
      <c r="C282" s="2">
        <v>19202100796</v>
      </c>
      <c r="D282" s="2">
        <v>12.56</v>
      </c>
      <c r="E282" s="701" t="s">
        <v>419</v>
      </c>
    </row>
    <row r="283" spans="1:5" x14ac:dyDescent="0.25">
      <c r="A283" s="181" t="s">
        <v>1372</v>
      </c>
      <c r="B283" s="2" t="s">
        <v>1307</v>
      </c>
      <c r="C283" s="2">
        <v>19202100818</v>
      </c>
      <c r="D283" s="2">
        <v>12.47</v>
      </c>
      <c r="E283" s="701" t="s">
        <v>419</v>
      </c>
    </row>
    <row r="284" spans="1:5" x14ac:dyDescent="0.25">
      <c r="A284" s="181" t="s">
        <v>1372</v>
      </c>
      <c r="B284" s="2" t="s">
        <v>1307</v>
      </c>
      <c r="C284" s="2">
        <v>19202100801</v>
      </c>
      <c r="D284" s="2">
        <v>12.38</v>
      </c>
      <c r="E284" s="701" t="s">
        <v>419</v>
      </c>
    </row>
    <row r="285" spans="1:5" x14ac:dyDescent="0.25">
      <c r="A285" s="181" t="s">
        <v>1372</v>
      </c>
      <c r="B285" s="2" t="s">
        <v>1307</v>
      </c>
      <c r="C285" s="2">
        <v>19202100759</v>
      </c>
      <c r="D285" s="2">
        <v>12.11</v>
      </c>
      <c r="E285" s="701" t="s">
        <v>419</v>
      </c>
    </row>
    <row r="286" spans="1:5" x14ac:dyDescent="0.25">
      <c r="A286" s="181" t="s">
        <v>1372</v>
      </c>
      <c r="B286" s="2" t="s">
        <v>1307</v>
      </c>
      <c r="C286" s="2">
        <v>19202100772</v>
      </c>
      <c r="D286" s="2">
        <v>11.84</v>
      </c>
      <c r="E286" s="701" t="s">
        <v>419</v>
      </c>
    </row>
    <row r="287" spans="1:5" x14ac:dyDescent="0.25">
      <c r="A287" s="181" t="s">
        <v>1372</v>
      </c>
      <c r="B287" s="2" t="s">
        <v>1307</v>
      </c>
      <c r="C287" s="2">
        <v>19202100786</v>
      </c>
      <c r="D287" s="2">
        <v>11.75</v>
      </c>
      <c r="E287" s="701" t="s">
        <v>419</v>
      </c>
    </row>
    <row r="288" spans="1:5" x14ac:dyDescent="0.25">
      <c r="A288" s="181" t="s">
        <v>1372</v>
      </c>
      <c r="B288" s="2" t="s">
        <v>1307</v>
      </c>
      <c r="C288" s="2">
        <v>19202100793</v>
      </c>
      <c r="D288" s="2">
        <v>11.75</v>
      </c>
      <c r="E288" s="701" t="s">
        <v>419</v>
      </c>
    </row>
    <row r="289" spans="1:5" x14ac:dyDescent="0.25">
      <c r="A289" s="181" t="s">
        <v>1372</v>
      </c>
      <c r="B289" s="2" t="s">
        <v>1307</v>
      </c>
      <c r="C289" s="2">
        <v>19202100761</v>
      </c>
      <c r="D289" s="2">
        <v>11.57</v>
      </c>
      <c r="E289" s="701" t="s">
        <v>419</v>
      </c>
    </row>
    <row r="290" spans="1:5" x14ac:dyDescent="0.25">
      <c r="A290" s="181" t="s">
        <v>1372</v>
      </c>
      <c r="B290" s="2" t="s">
        <v>1307</v>
      </c>
      <c r="C290" s="2">
        <v>19202100798</v>
      </c>
      <c r="D290" s="2">
        <v>11.56</v>
      </c>
      <c r="E290" s="701" t="s">
        <v>419</v>
      </c>
    </row>
    <row r="291" spans="1:5" x14ac:dyDescent="0.25">
      <c r="A291" s="181" t="s">
        <v>1372</v>
      </c>
      <c r="B291" s="2" t="s">
        <v>1307</v>
      </c>
      <c r="C291" s="2">
        <v>19202100751</v>
      </c>
      <c r="D291" s="2">
        <v>11.48</v>
      </c>
      <c r="E291" s="701" t="s">
        <v>419</v>
      </c>
    </row>
    <row r="292" spans="1:5" x14ac:dyDescent="0.25">
      <c r="A292" s="181" t="s">
        <v>1372</v>
      </c>
      <c r="B292" s="2" t="s">
        <v>1307</v>
      </c>
      <c r="C292" s="2">
        <v>19202100797</v>
      </c>
      <c r="D292" s="2">
        <v>11.46</v>
      </c>
      <c r="E292" s="701" t="s">
        <v>419</v>
      </c>
    </row>
    <row r="293" spans="1:5" x14ac:dyDescent="0.25">
      <c r="A293" s="181" t="s">
        <v>1372</v>
      </c>
      <c r="B293" s="2" t="s">
        <v>1307</v>
      </c>
      <c r="C293" s="2">
        <v>19202100773</v>
      </c>
      <c r="D293" s="2">
        <v>11.39</v>
      </c>
      <c r="E293" s="701" t="s">
        <v>419</v>
      </c>
    </row>
    <row r="294" spans="1:5" x14ac:dyDescent="0.25">
      <c r="A294" s="181" t="s">
        <v>1372</v>
      </c>
      <c r="B294" s="2" t="s">
        <v>1307</v>
      </c>
      <c r="C294" s="2">
        <v>19202100767</v>
      </c>
      <c r="D294" s="2">
        <v>11.29</v>
      </c>
      <c r="E294" s="701" t="s">
        <v>419</v>
      </c>
    </row>
    <row r="295" spans="1:5" x14ac:dyDescent="0.25">
      <c r="A295" s="181" t="s">
        <v>1372</v>
      </c>
      <c r="B295" s="2" t="s">
        <v>1307</v>
      </c>
      <c r="C295" s="2">
        <v>19202100757</v>
      </c>
      <c r="D295" s="2">
        <v>11.28</v>
      </c>
      <c r="E295" s="683" t="s">
        <v>420</v>
      </c>
    </row>
    <row r="296" spans="1:5" x14ac:dyDescent="0.25">
      <c r="A296" s="181" t="s">
        <v>1372</v>
      </c>
      <c r="B296" s="2" t="s">
        <v>1307</v>
      </c>
      <c r="C296" s="2">
        <v>19202100764</v>
      </c>
      <c r="D296" s="2">
        <v>11.11</v>
      </c>
      <c r="E296" s="683" t="s">
        <v>420</v>
      </c>
    </row>
    <row r="297" spans="1:5" x14ac:dyDescent="0.25">
      <c r="A297" s="181" t="s">
        <v>1372</v>
      </c>
      <c r="B297" s="2" t="s">
        <v>1307</v>
      </c>
      <c r="C297" s="2">
        <v>19202100785</v>
      </c>
      <c r="D297" s="2">
        <v>10.93</v>
      </c>
      <c r="E297" s="683" t="s">
        <v>420</v>
      </c>
    </row>
    <row r="298" spans="1:5" x14ac:dyDescent="0.25">
      <c r="A298" s="181" t="s">
        <v>1372</v>
      </c>
      <c r="B298" s="2" t="s">
        <v>1307</v>
      </c>
      <c r="C298" s="2">
        <v>19202100754</v>
      </c>
      <c r="D298" s="2">
        <v>10.84</v>
      </c>
      <c r="E298" s="683" t="s">
        <v>420</v>
      </c>
    </row>
    <row r="299" spans="1:5" x14ac:dyDescent="0.25">
      <c r="A299" s="181" t="s">
        <v>1372</v>
      </c>
      <c r="B299" s="2" t="s">
        <v>1307</v>
      </c>
      <c r="C299" s="2">
        <v>19202100778</v>
      </c>
      <c r="D299" s="2">
        <v>10.65</v>
      </c>
      <c r="E299" s="683" t="s">
        <v>420</v>
      </c>
    </row>
    <row r="300" spans="1:5" x14ac:dyDescent="0.25">
      <c r="A300" s="181" t="s">
        <v>1372</v>
      </c>
      <c r="B300" s="2" t="s">
        <v>1307</v>
      </c>
      <c r="C300" s="2">
        <v>19202100790</v>
      </c>
      <c r="D300" s="2">
        <v>10.65</v>
      </c>
      <c r="E300" s="683" t="s">
        <v>420</v>
      </c>
    </row>
    <row r="301" spans="1:5" x14ac:dyDescent="0.25">
      <c r="A301" s="181" t="s">
        <v>1372</v>
      </c>
      <c r="B301" s="2" t="s">
        <v>1307</v>
      </c>
      <c r="C301" s="2">
        <v>19202100800</v>
      </c>
      <c r="D301" s="2">
        <v>10.65</v>
      </c>
      <c r="E301" s="683" t="s">
        <v>420</v>
      </c>
    </row>
    <row r="302" spans="1:5" x14ac:dyDescent="0.25">
      <c r="A302" s="181" t="s">
        <v>1372</v>
      </c>
      <c r="B302" s="2" t="s">
        <v>1307</v>
      </c>
      <c r="C302" s="2">
        <v>19202100776</v>
      </c>
      <c r="D302" s="2">
        <v>10.56</v>
      </c>
      <c r="E302" s="683" t="s">
        <v>420</v>
      </c>
    </row>
    <row r="303" spans="1:5" x14ac:dyDescent="0.25">
      <c r="A303" s="181" t="s">
        <v>1372</v>
      </c>
      <c r="B303" s="2" t="s">
        <v>1307</v>
      </c>
      <c r="C303" s="2">
        <v>19202100788</v>
      </c>
      <c r="D303" s="2">
        <v>8.75</v>
      </c>
      <c r="E303" s="683" t="s">
        <v>420</v>
      </c>
    </row>
    <row r="304" spans="1:5" x14ac:dyDescent="0.25">
      <c r="A304" s="181" t="s">
        <v>1372</v>
      </c>
      <c r="B304" s="2" t="s">
        <v>1307</v>
      </c>
      <c r="C304" s="2">
        <v>19202100762</v>
      </c>
      <c r="D304" s="2">
        <v>6.75</v>
      </c>
      <c r="E304" s="683" t="s">
        <v>420</v>
      </c>
    </row>
    <row r="305" spans="1:5" x14ac:dyDescent="0.25">
      <c r="A305" s="181" t="s">
        <v>1372</v>
      </c>
      <c r="B305" s="181" t="s">
        <v>1378</v>
      </c>
      <c r="C305" s="2">
        <v>19202100769</v>
      </c>
      <c r="D305" s="2">
        <v>16.100000000000001</v>
      </c>
      <c r="E305" s="701" t="s">
        <v>419</v>
      </c>
    </row>
    <row r="306" spans="1:5" x14ac:dyDescent="0.25">
      <c r="A306" s="181" t="s">
        <v>1372</v>
      </c>
      <c r="B306" s="181" t="s">
        <v>1378</v>
      </c>
      <c r="C306" s="2">
        <v>19202100755</v>
      </c>
      <c r="D306" s="2">
        <v>15.65</v>
      </c>
      <c r="E306" s="701" t="s">
        <v>419</v>
      </c>
    </row>
    <row r="307" spans="1:5" x14ac:dyDescent="0.25">
      <c r="A307" s="181" t="s">
        <v>1372</v>
      </c>
      <c r="B307" s="181" t="s">
        <v>1378</v>
      </c>
      <c r="C307" s="2">
        <v>19202100812</v>
      </c>
      <c r="D307" s="2">
        <v>15.11</v>
      </c>
      <c r="E307" s="701" t="s">
        <v>419</v>
      </c>
    </row>
    <row r="308" spans="1:5" x14ac:dyDescent="0.25">
      <c r="A308" s="181" t="s">
        <v>1372</v>
      </c>
      <c r="B308" s="181" t="s">
        <v>1378</v>
      </c>
      <c r="C308" s="2">
        <v>19202100819</v>
      </c>
      <c r="D308" s="2">
        <v>14.74</v>
      </c>
      <c r="E308" s="701" t="s">
        <v>419</v>
      </c>
    </row>
    <row r="309" spans="1:5" x14ac:dyDescent="0.25">
      <c r="A309" s="181" t="s">
        <v>1372</v>
      </c>
      <c r="B309" s="181" t="s">
        <v>1378</v>
      </c>
      <c r="C309" s="2">
        <v>19202100763</v>
      </c>
      <c r="D309" s="2">
        <v>14.65</v>
      </c>
      <c r="E309" s="701" t="s">
        <v>419</v>
      </c>
    </row>
    <row r="310" spans="1:5" x14ac:dyDescent="0.25">
      <c r="A310" s="181" t="s">
        <v>1372</v>
      </c>
      <c r="B310" s="181" t="s">
        <v>1378</v>
      </c>
      <c r="C310" s="2">
        <v>19202100760</v>
      </c>
      <c r="D310" s="2">
        <v>14.56</v>
      </c>
      <c r="E310" s="701" t="s">
        <v>419</v>
      </c>
    </row>
    <row r="311" spans="1:5" x14ac:dyDescent="0.25">
      <c r="A311" s="181" t="s">
        <v>1372</v>
      </c>
      <c r="B311" s="181" t="s">
        <v>1378</v>
      </c>
      <c r="C311" s="2">
        <v>19202100774</v>
      </c>
      <c r="D311" s="2">
        <v>14.47</v>
      </c>
      <c r="E311" s="701" t="s">
        <v>419</v>
      </c>
    </row>
    <row r="312" spans="1:5" x14ac:dyDescent="0.25">
      <c r="A312" s="181" t="s">
        <v>1372</v>
      </c>
      <c r="B312" s="181" t="s">
        <v>1378</v>
      </c>
      <c r="C312" s="2">
        <v>19202100799</v>
      </c>
      <c r="D312" s="2">
        <v>14.38</v>
      </c>
      <c r="E312" s="701" t="s">
        <v>419</v>
      </c>
    </row>
    <row r="313" spans="1:5" x14ac:dyDescent="0.25">
      <c r="A313" s="181" t="s">
        <v>1372</v>
      </c>
      <c r="B313" s="181" t="s">
        <v>1378</v>
      </c>
      <c r="C313" s="2">
        <v>19202100803</v>
      </c>
      <c r="D313" s="2">
        <v>14.38</v>
      </c>
      <c r="E313" s="701" t="s">
        <v>419</v>
      </c>
    </row>
    <row r="314" spans="1:5" x14ac:dyDescent="0.25">
      <c r="A314" s="181" t="s">
        <v>1372</v>
      </c>
      <c r="B314" s="181" t="s">
        <v>1378</v>
      </c>
      <c r="C314" s="27">
        <v>19202100804</v>
      </c>
      <c r="D314" s="27">
        <v>14.38</v>
      </c>
      <c r="E314" s="701" t="s">
        <v>419</v>
      </c>
    </row>
    <row r="315" spans="1:5" x14ac:dyDescent="0.25">
      <c r="A315" s="181" t="s">
        <v>1372</v>
      </c>
      <c r="B315" s="181" t="s">
        <v>1378</v>
      </c>
      <c r="C315" s="2">
        <v>19202100807</v>
      </c>
      <c r="D315" s="2">
        <v>14.38</v>
      </c>
      <c r="E315" s="701" t="s">
        <v>419</v>
      </c>
    </row>
    <row r="316" spans="1:5" x14ac:dyDescent="0.25">
      <c r="A316" s="181" t="s">
        <v>1372</v>
      </c>
      <c r="B316" s="181" t="s">
        <v>1378</v>
      </c>
      <c r="C316" s="2">
        <v>19202100805</v>
      </c>
      <c r="D316" s="2">
        <v>14.37</v>
      </c>
      <c r="E316" s="701" t="s">
        <v>419</v>
      </c>
    </row>
    <row r="317" spans="1:5" x14ac:dyDescent="0.25">
      <c r="A317" s="181" t="s">
        <v>1372</v>
      </c>
      <c r="B317" s="181" t="s">
        <v>1378</v>
      </c>
      <c r="C317" s="2">
        <v>19202100775</v>
      </c>
      <c r="D317" s="2">
        <v>14.29</v>
      </c>
      <c r="E317" s="701" t="s">
        <v>419</v>
      </c>
    </row>
    <row r="318" spans="1:5" x14ac:dyDescent="0.25">
      <c r="A318" s="181" t="s">
        <v>1372</v>
      </c>
      <c r="B318" s="181" t="s">
        <v>1378</v>
      </c>
      <c r="C318" s="2">
        <v>19202100794</v>
      </c>
      <c r="D318" s="2">
        <v>14.29</v>
      </c>
      <c r="E318" s="701" t="s">
        <v>419</v>
      </c>
    </row>
    <row r="319" spans="1:5" x14ac:dyDescent="0.25">
      <c r="A319" s="181" t="s">
        <v>1372</v>
      </c>
      <c r="B319" s="181" t="s">
        <v>1378</v>
      </c>
      <c r="C319" s="2">
        <v>19202100795</v>
      </c>
      <c r="D319" s="2">
        <v>14.29</v>
      </c>
      <c r="E319" s="701" t="s">
        <v>419</v>
      </c>
    </row>
    <row r="320" spans="1:5" x14ac:dyDescent="0.25">
      <c r="A320" s="181" t="s">
        <v>1372</v>
      </c>
      <c r="B320" s="181" t="s">
        <v>1378</v>
      </c>
      <c r="C320" s="2">
        <v>19202100752</v>
      </c>
      <c r="D320" s="2">
        <v>14.28</v>
      </c>
      <c r="E320" s="701" t="s">
        <v>419</v>
      </c>
    </row>
    <row r="321" spans="1:5" x14ac:dyDescent="0.25">
      <c r="A321" s="181" t="s">
        <v>1372</v>
      </c>
      <c r="B321" s="181" t="s">
        <v>1378</v>
      </c>
      <c r="C321" s="2">
        <v>19202100756</v>
      </c>
      <c r="D321" s="2">
        <v>14.11</v>
      </c>
      <c r="E321" s="701" t="s">
        <v>419</v>
      </c>
    </row>
    <row r="322" spans="1:5" x14ac:dyDescent="0.25">
      <c r="A322" s="181" t="s">
        <v>1372</v>
      </c>
      <c r="B322" s="181" t="s">
        <v>1378</v>
      </c>
      <c r="C322" s="2">
        <v>19202100765</v>
      </c>
      <c r="D322" s="2">
        <v>14.11</v>
      </c>
      <c r="E322" s="701" t="s">
        <v>419</v>
      </c>
    </row>
    <row r="323" spans="1:5" x14ac:dyDescent="0.25">
      <c r="A323" s="181" t="s">
        <v>1372</v>
      </c>
      <c r="B323" s="181" t="s">
        <v>1378</v>
      </c>
      <c r="C323" s="2">
        <v>19202100784</v>
      </c>
      <c r="D323" s="2">
        <v>14.11</v>
      </c>
      <c r="E323" s="701" t="s">
        <v>419</v>
      </c>
    </row>
    <row r="324" spans="1:5" x14ac:dyDescent="0.25">
      <c r="A324" s="181" t="s">
        <v>1372</v>
      </c>
      <c r="B324" s="181" t="s">
        <v>1378</v>
      </c>
      <c r="C324" s="2">
        <v>19202100808</v>
      </c>
      <c r="D324" s="2">
        <v>14.1</v>
      </c>
      <c r="E324" s="701" t="s">
        <v>419</v>
      </c>
    </row>
    <row r="325" spans="1:5" x14ac:dyDescent="0.25">
      <c r="A325" s="181" t="s">
        <v>1372</v>
      </c>
      <c r="B325" s="181" t="s">
        <v>1378</v>
      </c>
      <c r="C325" s="2">
        <v>19202100811</v>
      </c>
      <c r="D325" s="2">
        <v>13.74</v>
      </c>
      <c r="E325" s="683" t="s">
        <v>420</v>
      </c>
    </row>
    <row r="326" spans="1:5" x14ac:dyDescent="0.25">
      <c r="A326" s="181" t="s">
        <v>1372</v>
      </c>
      <c r="B326" s="181" t="s">
        <v>1378</v>
      </c>
      <c r="C326" s="2">
        <v>19202100780</v>
      </c>
      <c r="D326" s="2">
        <v>13.65</v>
      </c>
      <c r="E326" s="683" t="s">
        <v>420</v>
      </c>
    </row>
    <row r="327" spans="1:5" x14ac:dyDescent="0.25">
      <c r="A327" s="181" t="s">
        <v>1372</v>
      </c>
      <c r="B327" s="181" t="s">
        <v>1378</v>
      </c>
      <c r="C327" s="2">
        <v>19202100777</v>
      </c>
      <c r="D327" s="2">
        <v>13.48</v>
      </c>
      <c r="E327" s="683" t="s">
        <v>420</v>
      </c>
    </row>
    <row r="328" spans="1:5" x14ac:dyDescent="0.25">
      <c r="A328" s="181" t="s">
        <v>1372</v>
      </c>
      <c r="B328" s="181" t="s">
        <v>1378</v>
      </c>
      <c r="C328" s="2">
        <v>19202100809</v>
      </c>
      <c r="D328" s="2">
        <v>13.47</v>
      </c>
      <c r="E328" s="683" t="s">
        <v>420</v>
      </c>
    </row>
    <row r="329" spans="1:5" x14ac:dyDescent="0.25">
      <c r="A329" s="181" t="s">
        <v>1372</v>
      </c>
      <c r="B329" s="181" t="s">
        <v>1378</v>
      </c>
      <c r="C329" s="2">
        <v>19202100820</v>
      </c>
      <c r="D329" s="2">
        <v>13.46</v>
      </c>
      <c r="E329" s="683" t="s">
        <v>420</v>
      </c>
    </row>
    <row r="330" spans="1:5" x14ac:dyDescent="0.25">
      <c r="A330" s="181" t="s">
        <v>1372</v>
      </c>
      <c r="B330" s="181" t="s">
        <v>1378</v>
      </c>
      <c r="C330" s="2">
        <v>19202100771</v>
      </c>
      <c r="D330" s="2">
        <v>13.3</v>
      </c>
      <c r="E330" s="683" t="s">
        <v>420</v>
      </c>
    </row>
    <row r="331" spans="1:5" x14ac:dyDescent="0.25">
      <c r="A331" s="181" t="s">
        <v>1372</v>
      </c>
      <c r="B331" s="181" t="s">
        <v>1378</v>
      </c>
      <c r="C331" s="2">
        <v>19202100781</v>
      </c>
      <c r="D331" s="2">
        <v>13.02</v>
      </c>
      <c r="E331" s="683" t="s">
        <v>420</v>
      </c>
    </row>
    <row r="332" spans="1:5" x14ac:dyDescent="0.25">
      <c r="A332" s="181" t="s">
        <v>1372</v>
      </c>
      <c r="B332" s="181" t="s">
        <v>1378</v>
      </c>
      <c r="C332" s="2">
        <v>19202100782</v>
      </c>
      <c r="D332" s="2">
        <v>12.83</v>
      </c>
      <c r="E332" s="683" t="s">
        <v>420</v>
      </c>
    </row>
    <row r="333" spans="1:5" x14ac:dyDescent="0.25">
      <c r="A333" s="181" t="s">
        <v>1372</v>
      </c>
      <c r="B333" s="181" t="s">
        <v>1378</v>
      </c>
      <c r="C333" s="2">
        <v>19202100813</v>
      </c>
      <c r="D333" s="2">
        <v>12.82</v>
      </c>
      <c r="E333" s="683" t="s">
        <v>420</v>
      </c>
    </row>
    <row r="334" spans="1:5" x14ac:dyDescent="0.25">
      <c r="A334" s="181" t="s">
        <v>1372</v>
      </c>
      <c r="B334" s="181" t="s">
        <v>1378</v>
      </c>
      <c r="C334" s="2">
        <v>19202100770</v>
      </c>
      <c r="D334" s="2">
        <v>12.65</v>
      </c>
      <c r="E334" s="683" t="s">
        <v>420</v>
      </c>
    </row>
    <row r="335" spans="1:5" x14ac:dyDescent="0.25">
      <c r="A335" s="181" t="s">
        <v>1372</v>
      </c>
      <c r="B335" s="181" t="s">
        <v>1378</v>
      </c>
      <c r="C335" s="2">
        <v>19202100792</v>
      </c>
      <c r="D335" s="2">
        <v>12.65</v>
      </c>
      <c r="E335" s="683" t="s">
        <v>420</v>
      </c>
    </row>
    <row r="336" spans="1:5" x14ac:dyDescent="0.25">
      <c r="A336" s="181" t="s">
        <v>1372</v>
      </c>
      <c r="B336" s="181" t="s">
        <v>1378</v>
      </c>
      <c r="C336" s="2">
        <v>19202100817</v>
      </c>
      <c r="D336" s="2">
        <v>12.47</v>
      </c>
      <c r="E336" s="683" t="s">
        <v>420</v>
      </c>
    </row>
    <row r="337" spans="1:5" x14ac:dyDescent="0.25">
      <c r="A337" s="181" t="s">
        <v>1372</v>
      </c>
      <c r="B337" s="181" t="s">
        <v>1378</v>
      </c>
      <c r="C337" s="2">
        <v>19202100753</v>
      </c>
      <c r="D337" s="2">
        <v>12.11</v>
      </c>
      <c r="E337" s="683" t="s">
        <v>420</v>
      </c>
    </row>
    <row r="338" spans="1:5" x14ac:dyDescent="0.25">
      <c r="A338" s="181" t="s">
        <v>1372</v>
      </c>
      <c r="B338" s="181" t="s">
        <v>1378</v>
      </c>
      <c r="C338" s="2">
        <v>19202100791</v>
      </c>
      <c r="D338" s="2">
        <v>12.1</v>
      </c>
      <c r="E338" s="683" t="s">
        <v>420</v>
      </c>
    </row>
    <row r="339" spans="1:5" x14ac:dyDescent="0.25">
      <c r="A339" s="181" t="s">
        <v>1372</v>
      </c>
      <c r="B339" s="181" t="s">
        <v>1378</v>
      </c>
      <c r="C339" s="2">
        <v>19202100815</v>
      </c>
      <c r="D339" s="2">
        <v>12.01</v>
      </c>
      <c r="E339" s="683" t="s">
        <v>420</v>
      </c>
    </row>
    <row r="340" spans="1:5" x14ac:dyDescent="0.25">
      <c r="A340" s="181" t="s">
        <v>1372</v>
      </c>
      <c r="B340" s="181" t="s">
        <v>1378</v>
      </c>
      <c r="C340" s="2">
        <v>19202100766</v>
      </c>
      <c r="D340" s="2">
        <v>11.93</v>
      </c>
      <c r="E340" s="683" t="s">
        <v>420</v>
      </c>
    </row>
    <row r="341" spans="1:5" x14ac:dyDescent="0.25">
      <c r="A341" s="181" t="s">
        <v>1372</v>
      </c>
      <c r="B341" s="181" t="s">
        <v>1378</v>
      </c>
      <c r="C341" s="2">
        <v>19202100783</v>
      </c>
      <c r="D341" s="2">
        <v>11.38</v>
      </c>
      <c r="E341" s="683" t="s">
        <v>420</v>
      </c>
    </row>
    <row r="342" spans="1:5" x14ac:dyDescent="0.25">
      <c r="A342" s="181" t="s">
        <v>1372</v>
      </c>
      <c r="B342" s="181" t="s">
        <v>1378</v>
      </c>
      <c r="C342" s="2">
        <v>19202100789</v>
      </c>
      <c r="D342" s="2">
        <v>8.48</v>
      </c>
      <c r="E342" s="683" t="s">
        <v>420</v>
      </c>
    </row>
    <row r="343" spans="1:5" x14ac:dyDescent="0.25">
      <c r="A343" s="181" t="s">
        <v>1372</v>
      </c>
      <c r="B343" s="181" t="s">
        <v>1378</v>
      </c>
      <c r="C343" s="2">
        <v>19202100814</v>
      </c>
      <c r="D343" s="2">
        <v>7.84</v>
      </c>
      <c r="E343" s="683" t="s">
        <v>420</v>
      </c>
    </row>
  </sheetData>
  <mergeCells count="1">
    <mergeCell ref="A1:E1"/>
  </mergeCells>
  <hyperlinks>
    <hyperlink ref="C212" r:id="rId1" location="/router?komponent=taotlus&amp;id=1171660&amp;kuva=ava" display="https://pms.arib.pria.ee/pms-menetlus/ - /router?komponent=taotlus&amp;id=1171660&amp;kuva=ava"/>
    <hyperlink ref="C213" r:id="rId2" location="/router?komponent=taotlus&amp;id=1171308&amp;kuva=ava" display="https://pms.arib.pria.ee/pms-menetlus/ - /router?komponent=taotlus&amp;id=1171308&amp;kuva=ava"/>
    <hyperlink ref="C214" r:id="rId3" location="/router?komponent=taotlus&amp;id=1173270&amp;kuva=ava" display="https://pms.arib.pria.ee/pms-menetlus/ - /router?komponent=taotlus&amp;id=1173270&amp;kuva=ava"/>
    <hyperlink ref="C215" r:id="rId4" location="/router?komponent=taotlus&amp;id=1171849&amp;kuva=ava" display="https://pms.arib.pria.ee/pms-menetlus/ - /router?komponent=taotlus&amp;id=1171849&amp;kuva=ava"/>
    <hyperlink ref="C216" r:id="rId5" location="/router?komponent=taotlus&amp;id=1162957&amp;kuva=ava" display="https://pms.arib.pria.ee/pms-menetlus/ - /router?komponent=taotlus&amp;id=1162957&amp;kuva=ava"/>
    <hyperlink ref="C217" r:id="rId6" location="/router?komponent=taotlus&amp;id=1171505&amp;kuva=ava" display="https://pms.arib.pria.ee/pms-menetlus/ - /router?komponent=taotlus&amp;id=1171505&amp;kuva=ava"/>
    <hyperlink ref="C218" r:id="rId7" location="/router?komponent=taotlus&amp;id=1171615&amp;kuva=ava" display="https://pms.arib.pria.ee/pms-menetlus/ - /router?komponent=taotlus&amp;id=1171615&amp;kuva=ava"/>
    <hyperlink ref="C219" r:id="rId8" location="/router?komponent=taotlus&amp;id=1171710&amp;kuva=ava" display="https://pms.arib.pria.ee/pms-menetlus/ - /router?komponent=taotlus&amp;id=1171710&amp;kuva=ava"/>
    <hyperlink ref="C220" r:id="rId9" location="/router?komponent=taotlus&amp;id=1165852&amp;kuva=ava" display="https://pms.arib.pria.ee/pms-menetlus/ - /router?komponent=taotlus&amp;id=1165852&amp;kuva=ava"/>
    <hyperlink ref="C221" r:id="rId10" location="/router?komponent=taotlus&amp;id=1170350&amp;kuva=ava" display="https://pms.arib.pria.ee/pms-menetlus/ - /router?komponent=taotlus&amp;id=1170350&amp;kuva=ava"/>
    <hyperlink ref="C222" r:id="rId11" location="/router?komponent=taotlus&amp;id=1171161&amp;kuva=ava" display="https://pms.arib.pria.ee/pms-menetlus/ - /router?komponent=taotlus&amp;id=1171161&amp;kuva=ava"/>
    <hyperlink ref="C223" r:id="rId12" location="/router?komponent=taotlus&amp;id=1173490&amp;kuva=ava" display="https://pms.arib.pria.ee/pms-menetlus/ - /router?komponent=taotlus&amp;id=1173490&amp;kuva=ava"/>
    <hyperlink ref="C224" r:id="rId13" location="/router?komponent=taotlus&amp;id=1172883&amp;kuva=ava" display="https://pms.arib.pria.ee/pms-menetlus/ - /router?komponent=taotlus&amp;id=1172883&amp;kuva=ava"/>
    <hyperlink ref="C225" r:id="rId14" location="/router?komponent=taotlus&amp;id=1169950&amp;kuva=ava" display="https://pms.arib.pria.ee/pms-menetlus/ - /router?komponent=taotlus&amp;id=1169950&amp;kuva=ava"/>
    <hyperlink ref="C226" r:id="rId15" location="/router?komponent=taotlus&amp;id=1164469&amp;kuva=ava" display="https://pms.arib.pria.ee/pms-menetlus/ - /router?komponent=taotlus&amp;id=1164469&amp;kuva=ava"/>
    <hyperlink ref="C227" r:id="rId16" location="/router?komponent=taotlus&amp;id=1174176&amp;kuva=ava" display="https://pms.arib.pria.ee/pms-menetlus/ - /router?komponent=taotlus&amp;id=1174176&amp;kuva=ava"/>
    <hyperlink ref="C228" r:id="rId17" location="/router?komponent=taotlus&amp;id=1174657&amp;kuva=ava" display="https://pms.arib.pria.ee/pms-menetlus/ - /router?komponent=taotlus&amp;id=1174657&amp;kuva=ava"/>
    <hyperlink ref="C229" r:id="rId18" location="/router?komponent=taotlus&amp;id=1172067&amp;kuva=ava" display="/router?komponent=taotlus&amp;id=1172067&amp;kuva=ava"/>
    <hyperlink ref="C230" r:id="rId19" location="/router?komponent=taotlus&amp;id=1173823&amp;kuva=ava" display="https://pms.arib.pria.ee/pms-menetlus/ - /router?komponent=taotlus&amp;id=1173823&amp;kuva=ava"/>
    <hyperlink ref="C231" r:id="rId20" location="/router?komponent=taotlus&amp;id=1169754&amp;kuva=ava" display="https://pms.arib.pria.ee/pms-menetlus/ - /router?komponent=taotlus&amp;id=1169754&amp;kuva=ava"/>
    <hyperlink ref="C232" r:id="rId21" location="/router?komponent=taotlus&amp;id=1163804&amp;kuva=ava" display="https://pms.arib.pria.ee/pms-menetlus/ - /router?komponent=taotlus&amp;id=1163804&amp;kuva=ava"/>
    <hyperlink ref="C233" r:id="rId22" location="/router?komponent=taotlus&amp;id=1170357&amp;kuva=ava" display="https://pms.arib.pria.ee/pms-menetlus/ - /router?komponent=taotlus&amp;id=1170357&amp;kuva=ava"/>
    <hyperlink ref="C234" r:id="rId23" location="/router?komponent=taotlus&amp;id=1174558&amp;kuva=ava" display="https://pms.arib.pria.ee/pms-menetlus/ - /router?komponent=taotlus&amp;id=1174558&amp;kuva=ava"/>
    <hyperlink ref="C235" r:id="rId24" location="/router?komponent=taotlus&amp;id=1175342&amp;kuva=ava" display="https://pms.arib.pria.ee/pms-menetlus/ - /router?komponent=taotlus&amp;id=1175342&amp;kuva=ava"/>
    <hyperlink ref="C236" r:id="rId25" location="/router?komponent=taotlus&amp;id=1163964&amp;kuva=ava" display="https://pms.arib.pria.ee/pms-menetlus/ - /router?komponent=taotlus&amp;id=1163964&amp;kuva=ava"/>
    <hyperlink ref="C237" r:id="rId26" location="/router?komponent=taotlus&amp;id=1170321&amp;kuva=ava" display="https://pms.arib.pria.ee/pms-menetlus/ - /router?komponent=taotlus&amp;id=1170321&amp;kuva=ava"/>
    <hyperlink ref="C238" r:id="rId27" location="/router?komponent=taotlus&amp;id=1168037&amp;kuva=ava" display="https://pms.arib.pria.ee/pms-menetlus/ - /router?komponent=taotlus&amp;id=1168037&amp;kuva=ava"/>
    <hyperlink ref="C239" r:id="rId28" location="/router?komponent=taotlus&amp;id=1169972&amp;kuva=ava" display="https://pms.arib.pria.ee/pms-menetlus/ - /router?komponent=taotlus&amp;id=1169972&amp;kuva=ava"/>
    <hyperlink ref="C240" r:id="rId29" location="/router?komponent=taotlus&amp;id=1170343&amp;kuva=ava" display="https://pms.arib.pria.ee/pms-menetlus/ - /router?komponent=taotlus&amp;id=1170343&amp;kuva=ava"/>
    <hyperlink ref="C241" r:id="rId30" location="/router?komponent=taotlus&amp;id=1173444&amp;kuva=ava" display="https://pms.arib.pria.ee/pms-menetlus/ - /router?komponent=taotlus&amp;id=1173444&amp;kuva=ava"/>
    <hyperlink ref="C242" r:id="rId31" location="/router?komponent=taotlus&amp;id=1174891&amp;kuva=ava" display="https://pms.arib.pria.ee/pms-menetlus/ - /router?komponent=taotlus&amp;id=1174891&amp;kuva=ava"/>
    <hyperlink ref="C243" r:id="rId32" location="/router?komponent=taotlus&amp;id=1170965&amp;kuva=ava" display="https://pms.arib.pria.ee/pms-menetlus/ - /router?komponent=taotlus&amp;id=1170965&amp;kuva=ava"/>
  </hyperlinks>
  <pageMargins left="0.7" right="0.7" top="0.75" bottom="0.75" header="0.3" footer="0.3"/>
  <pageSetup paperSize="9" orientation="portrait" r:id="rId3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0"/>
  <sheetViews>
    <sheetView workbookViewId="0">
      <pane ySplit="2" topLeftCell="A415" activePane="bottomLeft" state="frozen"/>
      <selection pane="bottomLeft" activeCell="U423" sqref="U423"/>
    </sheetView>
  </sheetViews>
  <sheetFormatPr defaultRowHeight="15" x14ac:dyDescent="0.25"/>
  <cols>
    <col min="1" max="1" width="21.140625" bestFit="1" customWidth="1"/>
    <col min="2" max="2" width="34.85546875" customWidth="1"/>
    <col min="3" max="3" width="21.42578125" customWidth="1"/>
    <col min="4" max="4" width="13.140625" bestFit="1" customWidth="1"/>
    <col min="5" max="5" width="18" customWidth="1"/>
  </cols>
  <sheetData>
    <row r="1" spans="1:6" ht="15.75" x14ac:dyDescent="0.25">
      <c r="A1" s="861" t="s">
        <v>31</v>
      </c>
      <c r="B1" s="862"/>
      <c r="C1" s="862"/>
      <c r="D1" s="862"/>
      <c r="E1" s="863"/>
    </row>
    <row r="2" spans="1:6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  <c r="F2" s="52" t="s">
        <v>448</v>
      </c>
    </row>
    <row r="3" spans="1:6" x14ac:dyDescent="0.25">
      <c r="A3" s="92" t="s">
        <v>371</v>
      </c>
      <c r="B3" s="91" t="s">
        <v>372</v>
      </c>
      <c r="C3" s="48" t="s">
        <v>375</v>
      </c>
      <c r="D3" s="93">
        <v>4.33</v>
      </c>
      <c r="E3" s="39" t="s">
        <v>419</v>
      </c>
    </row>
    <row r="4" spans="1:6" x14ac:dyDescent="0.25">
      <c r="A4" s="94" t="s">
        <v>371</v>
      </c>
      <c r="B4" s="1" t="s">
        <v>372</v>
      </c>
      <c r="C4" s="5" t="s">
        <v>377</v>
      </c>
      <c r="D4" s="22">
        <v>4.0599999999999996</v>
      </c>
      <c r="E4" s="41" t="s">
        <v>419</v>
      </c>
    </row>
    <row r="5" spans="1:6" x14ac:dyDescent="0.25">
      <c r="A5" s="94" t="s">
        <v>371</v>
      </c>
      <c r="B5" s="1" t="s">
        <v>372</v>
      </c>
      <c r="C5" s="5" t="s">
        <v>378</v>
      </c>
      <c r="D5" s="22">
        <v>3.98</v>
      </c>
      <c r="E5" s="41" t="s">
        <v>419</v>
      </c>
    </row>
    <row r="6" spans="1:6" x14ac:dyDescent="0.25">
      <c r="A6" s="94" t="s">
        <v>371</v>
      </c>
      <c r="B6" s="1" t="s">
        <v>372</v>
      </c>
      <c r="C6" s="5" t="s">
        <v>379</v>
      </c>
      <c r="D6" s="22">
        <v>3.93</v>
      </c>
      <c r="E6" s="41" t="s">
        <v>419</v>
      </c>
    </row>
    <row r="7" spans="1:6" x14ac:dyDescent="0.25">
      <c r="A7" s="94" t="s">
        <v>371</v>
      </c>
      <c r="B7" s="1" t="s">
        <v>372</v>
      </c>
      <c r="C7" s="5" t="s">
        <v>380</v>
      </c>
      <c r="D7" s="22">
        <v>3.9</v>
      </c>
      <c r="E7" s="41" t="s">
        <v>419</v>
      </c>
    </row>
    <row r="8" spans="1:6" x14ac:dyDescent="0.25">
      <c r="A8" s="94" t="s">
        <v>371</v>
      </c>
      <c r="B8" s="1" t="s">
        <v>372</v>
      </c>
      <c r="C8" s="5" t="s">
        <v>381</v>
      </c>
      <c r="D8" s="22">
        <v>3.84</v>
      </c>
      <c r="E8" s="41" t="s">
        <v>419</v>
      </c>
    </row>
    <row r="9" spans="1:6" x14ac:dyDescent="0.25">
      <c r="A9" s="94" t="s">
        <v>371</v>
      </c>
      <c r="B9" s="1" t="s">
        <v>372</v>
      </c>
      <c r="C9" s="5" t="s">
        <v>382</v>
      </c>
      <c r="D9" s="22">
        <v>3.78</v>
      </c>
      <c r="E9" s="41" t="s">
        <v>419</v>
      </c>
    </row>
    <row r="10" spans="1:6" x14ac:dyDescent="0.25">
      <c r="A10" s="94" t="s">
        <v>371</v>
      </c>
      <c r="B10" s="1" t="s">
        <v>372</v>
      </c>
      <c r="C10" s="5" t="s">
        <v>383</v>
      </c>
      <c r="D10" s="22">
        <v>3.71</v>
      </c>
      <c r="E10" s="41" t="s">
        <v>419</v>
      </c>
    </row>
    <row r="11" spans="1:6" x14ac:dyDescent="0.25">
      <c r="A11" s="94" t="s">
        <v>371</v>
      </c>
      <c r="B11" s="1" t="s">
        <v>372</v>
      </c>
      <c r="C11" s="5" t="s">
        <v>384</v>
      </c>
      <c r="D11" s="22">
        <v>3.69</v>
      </c>
      <c r="E11" s="41" t="s">
        <v>419</v>
      </c>
    </row>
    <row r="12" spans="1:6" x14ac:dyDescent="0.25">
      <c r="A12" s="94" t="s">
        <v>371</v>
      </c>
      <c r="B12" s="1" t="s">
        <v>372</v>
      </c>
      <c r="C12" s="5" t="s">
        <v>385</v>
      </c>
      <c r="D12" s="22">
        <v>3.62</v>
      </c>
      <c r="E12" s="41" t="s">
        <v>419</v>
      </c>
    </row>
    <row r="13" spans="1:6" x14ac:dyDescent="0.25">
      <c r="A13" s="95" t="s">
        <v>371</v>
      </c>
      <c r="B13" s="1" t="s">
        <v>372</v>
      </c>
      <c r="C13" s="5" t="s">
        <v>405</v>
      </c>
      <c r="D13" s="22">
        <v>3.62</v>
      </c>
      <c r="E13" s="66" t="s">
        <v>420</v>
      </c>
    </row>
    <row r="14" spans="1:6" x14ac:dyDescent="0.25">
      <c r="A14" s="94" t="s">
        <v>371</v>
      </c>
      <c r="B14" s="1" t="s">
        <v>372</v>
      </c>
      <c r="C14" s="5" t="s">
        <v>386</v>
      </c>
      <c r="D14" s="22">
        <v>3.58</v>
      </c>
      <c r="E14" s="41" t="s">
        <v>419</v>
      </c>
    </row>
    <row r="15" spans="1:6" x14ac:dyDescent="0.25">
      <c r="A15" s="94" t="s">
        <v>371</v>
      </c>
      <c r="B15" s="1" t="s">
        <v>372</v>
      </c>
      <c r="C15" s="5" t="s">
        <v>387</v>
      </c>
      <c r="D15" s="22">
        <v>3.49</v>
      </c>
      <c r="E15" s="41" t="s">
        <v>419</v>
      </c>
    </row>
    <row r="16" spans="1:6" x14ac:dyDescent="0.25">
      <c r="A16" s="94" t="s">
        <v>371</v>
      </c>
      <c r="B16" s="1" t="s">
        <v>372</v>
      </c>
      <c r="C16" s="5" t="s">
        <v>388</v>
      </c>
      <c r="D16" s="22">
        <v>3.46</v>
      </c>
      <c r="E16" s="41" t="s">
        <v>419</v>
      </c>
    </row>
    <row r="17" spans="1:5" x14ac:dyDescent="0.25">
      <c r="A17" s="94" t="s">
        <v>371</v>
      </c>
      <c r="B17" s="1" t="s">
        <v>372</v>
      </c>
      <c r="C17" s="5" t="s">
        <v>389</v>
      </c>
      <c r="D17" s="22">
        <v>3.44</v>
      </c>
      <c r="E17" s="41" t="s">
        <v>419</v>
      </c>
    </row>
    <row r="18" spans="1:5" x14ac:dyDescent="0.25">
      <c r="A18" s="94" t="s">
        <v>371</v>
      </c>
      <c r="B18" s="1" t="s">
        <v>372</v>
      </c>
      <c r="C18" s="5" t="s">
        <v>391</v>
      </c>
      <c r="D18" s="22">
        <v>3.43</v>
      </c>
      <c r="E18" s="41" t="s">
        <v>419</v>
      </c>
    </row>
    <row r="19" spans="1:5" x14ac:dyDescent="0.25">
      <c r="A19" s="94" t="s">
        <v>371</v>
      </c>
      <c r="B19" s="1" t="s">
        <v>372</v>
      </c>
      <c r="C19" s="5" t="s">
        <v>392</v>
      </c>
      <c r="D19" s="22">
        <v>3.41</v>
      </c>
      <c r="E19" s="41" t="s">
        <v>419</v>
      </c>
    </row>
    <row r="20" spans="1:5" x14ac:dyDescent="0.25">
      <c r="A20" s="95" t="s">
        <v>371</v>
      </c>
      <c r="B20" s="1" t="s">
        <v>372</v>
      </c>
      <c r="C20" s="5" t="s">
        <v>394</v>
      </c>
      <c r="D20" s="22">
        <v>3.4</v>
      </c>
      <c r="E20" s="41" t="s">
        <v>419</v>
      </c>
    </row>
    <row r="21" spans="1:5" x14ac:dyDescent="0.25">
      <c r="A21" s="94" t="s">
        <v>371</v>
      </c>
      <c r="B21" s="1" t="s">
        <v>372</v>
      </c>
      <c r="C21" s="5" t="s">
        <v>374</v>
      </c>
      <c r="D21" s="22">
        <v>3.38</v>
      </c>
      <c r="E21" s="41" t="s">
        <v>419</v>
      </c>
    </row>
    <row r="22" spans="1:5" x14ac:dyDescent="0.25">
      <c r="A22" s="95" t="s">
        <v>371</v>
      </c>
      <c r="B22" s="1" t="s">
        <v>372</v>
      </c>
      <c r="C22" s="5" t="s">
        <v>395</v>
      </c>
      <c r="D22" s="22">
        <v>3.37</v>
      </c>
      <c r="E22" s="41" t="s">
        <v>419</v>
      </c>
    </row>
    <row r="23" spans="1:5" x14ac:dyDescent="0.25">
      <c r="A23" s="94" t="s">
        <v>371</v>
      </c>
      <c r="B23" s="1" t="s">
        <v>372</v>
      </c>
      <c r="C23" s="5" t="s">
        <v>373</v>
      </c>
      <c r="D23" s="22">
        <v>3.35833</v>
      </c>
      <c r="E23" s="41" t="s">
        <v>419</v>
      </c>
    </row>
    <row r="24" spans="1:5" x14ac:dyDescent="0.25">
      <c r="A24" s="95" t="s">
        <v>371</v>
      </c>
      <c r="B24" s="1" t="s">
        <v>372</v>
      </c>
      <c r="C24" s="5" t="s">
        <v>396</v>
      </c>
      <c r="D24" s="22">
        <v>3.3582999999999998</v>
      </c>
      <c r="E24" s="41" t="s">
        <v>419</v>
      </c>
    </row>
    <row r="25" spans="1:5" x14ac:dyDescent="0.25">
      <c r="A25" s="95" t="s">
        <v>371</v>
      </c>
      <c r="B25" s="1" t="s">
        <v>372</v>
      </c>
      <c r="C25" s="5" t="s">
        <v>414</v>
      </c>
      <c r="D25" s="22">
        <v>3.32</v>
      </c>
      <c r="E25" s="66" t="s">
        <v>420</v>
      </c>
    </row>
    <row r="26" spans="1:5" x14ac:dyDescent="0.25">
      <c r="A26" s="94" t="s">
        <v>371</v>
      </c>
      <c r="B26" s="1" t="s">
        <v>372</v>
      </c>
      <c r="C26" s="5" t="s">
        <v>393</v>
      </c>
      <c r="D26" s="22">
        <v>3.31</v>
      </c>
      <c r="E26" s="66" t="s">
        <v>420</v>
      </c>
    </row>
    <row r="27" spans="1:5" x14ac:dyDescent="0.25">
      <c r="A27" s="94" t="s">
        <v>371</v>
      </c>
      <c r="B27" s="1" t="s">
        <v>372</v>
      </c>
      <c r="C27" s="5" t="s">
        <v>390</v>
      </c>
      <c r="D27" s="22">
        <v>3.29</v>
      </c>
      <c r="E27" s="66" t="s">
        <v>420</v>
      </c>
    </row>
    <row r="28" spans="1:5" x14ac:dyDescent="0.25">
      <c r="A28" s="94" t="s">
        <v>371</v>
      </c>
      <c r="B28" s="1" t="s">
        <v>372</v>
      </c>
      <c r="C28" s="5" t="s">
        <v>376</v>
      </c>
      <c r="D28" s="22">
        <v>3.24</v>
      </c>
      <c r="E28" s="66" t="s">
        <v>420</v>
      </c>
    </row>
    <row r="29" spans="1:5" x14ac:dyDescent="0.25">
      <c r="A29" s="95" t="s">
        <v>371</v>
      </c>
      <c r="B29" s="1" t="s">
        <v>372</v>
      </c>
      <c r="C29" s="5" t="s">
        <v>400</v>
      </c>
      <c r="D29" s="22">
        <v>3.24</v>
      </c>
      <c r="E29" s="66" t="s">
        <v>420</v>
      </c>
    </row>
    <row r="30" spans="1:5" x14ac:dyDescent="0.25">
      <c r="A30" s="95" t="s">
        <v>371</v>
      </c>
      <c r="B30" s="1" t="s">
        <v>372</v>
      </c>
      <c r="C30" s="5" t="s">
        <v>410</v>
      </c>
      <c r="D30" s="22">
        <v>3.19</v>
      </c>
      <c r="E30" s="66" t="s">
        <v>420</v>
      </c>
    </row>
    <row r="31" spans="1:5" x14ac:dyDescent="0.25">
      <c r="A31" s="95" t="s">
        <v>371</v>
      </c>
      <c r="B31" s="1" t="s">
        <v>372</v>
      </c>
      <c r="C31" s="5" t="s">
        <v>411</v>
      </c>
      <c r="D31" s="22">
        <v>3.18</v>
      </c>
      <c r="E31" s="66" t="s">
        <v>420</v>
      </c>
    </row>
    <row r="32" spans="1:5" x14ac:dyDescent="0.25">
      <c r="A32" s="95" t="s">
        <v>371</v>
      </c>
      <c r="B32" s="1" t="s">
        <v>372</v>
      </c>
      <c r="C32" s="5" t="s">
        <v>409</v>
      </c>
      <c r="D32" s="22">
        <v>3.16</v>
      </c>
      <c r="E32" s="66" t="s">
        <v>420</v>
      </c>
    </row>
    <row r="33" spans="1:5" x14ac:dyDescent="0.25">
      <c r="A33" s="95" t="s">
        <v>371</v>
      </c>
      <c r="B33" s="1" t="s">
        <v>372</v>
      </c>
      <c r="C33" s="5" t="s">
        <v>412</v>
      </c>
      <c r="D33" s="22">
        <v>3.16</v>
      </c>
      <c r="E33" s="66" t="s">
        <v>420</v>
      </c>
    </row>
    <row r="34" spans="1:5" x14ac:dyDescent="0.25">
      <c r="A34" s="95" t="s">
        <v>371</v>
      </c>
      <c r="B34" s="1" t="s">
        <v>372</v>
      </c>
      <c r="C34" s="5" t="s">
        <v>413</v>
      </c>
      <c r="D34" s="22">
        <v>3.08</v>
      </c>
      <c r="E34" s="66" t="s">
        <v>420</v>
      </c>
    </row>
    <row r="35" spans="1:5" x14ac:dyDescent="0.25">
      <c r="A35" s="95" t="s">
        <v>371</v>
      </c>
      <c r="B35" s="1" t="s">
        <v>372</v>
      </c>
      <c r="C35" s="5" t="s">
        <v>399</v>
      </c>
      <c r="D35" s="22">
        <v>3.07</v>
      </c>
      <c r="E35" s="66" t="s">
        <v>420</v>
      </c>
    </row>
    <row r="36" spans="1:5" x14ac:dyDescent="0.25">
      <c r="A36" s="95" t="s">
        <v>371</v>
      </c>
      <c r="B36" s="1" t="s">
        <v>372</v>
      </c>
      <c r="C36" s="5" t="s">
        <v>402</v>
      </c>
      <c r="D36" s="22">
        <v>3.03</v>
      </c>
      <c r="E36" s="66" t="s">
        <v>420</v>
      </c>
    </row>
    <row r="37" spans="1:5" x14ac:dyDescent="0.25">
      <c r="A37" s="95" t="s">
        <v>371</v>
      </c>
      <c r="B37" s="1" t="s">
        <v>372</v>
      </c>
      <c r="C37" s="5" t="s">
        <v>404</v>
      </c>
      <c r="D37" s="22">
        <v>3.03</v>
      </c>
      <c r="E37" s="66" t="s">
        <v>420</v>
      </c>
    </row>
    <row r="38" spans="1:5" x14ac:dyDescent="0.25">
      <c r="A38" s="95" t="s">
        <v>371</v>
      </c>
      <c r="B38" s="1" t="s">
        <v>372</v>
      </c>
      <c r="C38" s="5" t="s">
        <v>397</v>
      </c>
      <c r="D38" s="22">
        <v>3</v>
      </c>
      <c r="E38" s="66" t="s">
        <v>420</v>
      </c>
    </row>
    <row r="39" spans="1:5" x14ac:dyDescent="0.25">
      <c r="A39" s="95" t="s">
        <v>371</v>
      </c>
      <c r="B39" s="1" t="s">
        <v>372</v>
      </c>
      <c r="C39" s="5" t="s">
        <v>406</v>
      </c>
      <c r="D39" s="22">
        <v>2.93</v>
      </c>
      <c r="E39" s="66" t="s">
        <v>420</v>
      </c>
    </row>
    <row r="40" spans="1:5" x14ac:dyDescent="0.25">
      <c r="A40" s="95" t="s">
        <v>371</v>
      </c>
      <c r="B40" s="1" t="s">
        <v>372</v>
      </c>
      <c r="C40" s="5" t="s">
        <v>403</v>
      </c>
      <c r="D40" s="22">
        <v>2.87</v>
      </c>
      <c r="E40" s="66" t="s">
        <v>420</v>
      </c>
    </row>
    <row r="41" spans="1:5" x14ac:dyDescent="0.25">
      <c r="A41" s="95" t="s">
        <v>371</v>
      </c>
      <c r="B41" s="1" t="s">
        <v>372</v>
      </c>
      <c r="C41" s="5" t="s">
        <v>401</v>
      </c>
      <c r="D41" s="22">
        <v>2.83</v>
      </c>
      <c r="E41" s="66" t="s">
        <v>420</v>
      </c>
    </row>
    <row r="42" spans="1:5" x14ac:dyDescent="0.25">
      <c r="A42" s="95" t="s">
        <v>371</v>
      </c>
      <c r="B42" s="1" t="s">
        <v>372</v>
      </c>
      <c r="C42" s="5" t="s">
        <v>407</v>
      </c>
      <c r="D42" s="22">
        <v>2.78</v>
      </c>
      <c r="E42" s="66" t="s">
        <v>420</v>
      </c>
    </row>
    <row r="43" spans="1:5" x14ac:dyDescent="0.25">
      <c r="A43" s="95" t="s">
        <v>371</v>
      </c>
      <c r="B43" s="1" t="s">
        <v>372</v>
      </c>
      <c r="C43" s="5" t="s">
        <v>408</v>
      </c>
      <c r="D43" s="22">
        <v>2.77</v>
      </c>
      <c r="E43" s="66" t="s">
        <v>420</v>
      </c>
    </row>
    <row r="44" spans="1:5" x14ac:dyDescent="0.25">
      <c r="A44" s="235" t="s">
        <v>371</v>
      </c>
      <c r="B44" s="161" t="s">
        <v>372</v>
      </c>
      <c r="C44" s="106" t="s">
        <v>398</v>
      </c>
      <c r="D44" s="255">
        <v>2.56</v>
      </c>
      <c r="E44" s="119" t="s">
        <v>420</v>
      </c>
    </row>
    <row r="45" spans="1:5" x14ac:dyDescent="0.25">
      <c r="A45" s="26" t="s">
        <v>502</v>
      </c>
      <c r="B45" s="256" t="s">
        <v>501</v>
      </c>
      <c r="C45" s="18">
        <v>619216741439</v>
      </c>
      <c r="D45" s="2">
        <v>4.38</v>
      </c>
      <c r="E45" s="257" t="s">
        <v>419</v>
      </c>
    </row>
    <row r="46" spans="1:5" x14ac:dyDescent="0.25">
      <c r="A46" s="26" t="s">
        <v>502</v>
      </c>
      <c r="B46" s="256" t="s">
        <v>501</v>
      </c>
      <c r="C46" s="18">
        <v>619216741440</v>
      </c>
      <c r="D46" s="2">
        <v>4.03</v>
      </c>
      <c r="E46" s="257" t="s">
        <v>419</v>
      </c>
    </row>
    <row r="47" spans="1:5" x14ac:dyDescent="0.25">
      <c r="A47" s="26" t="s">
        <v>502</v>
      </c>
      <c r="B47" s="256" t="s">
        <v>501</v>
      </c>
      <c r="C47" s="18">
        <v>619216741441</v>
      </c>
      <c r="D47" s="2">
        <v>4.0199999999999996</v>
      </c>
      <c r="E47" s="257" t="s">
        <v>419</v>
      </c>
    </row>
    <row r="48" spans="1:5" x14ac:dyDescent="0.25">
      <c r="A48" s="26" t="s">
        <v>502</v>
      </c>
      <c r="B48" s="256" t="s">
        <v>501</v>
      </c>
      <c r="C48" s="18">
        <v>619216741442</v>
      </c>
      <c r="D48" s="2">
        <v>3.99</v>
      </c>
      <c r="E48" s="257" t="s">
        <v>419</v>
      </c>
    </row>
    <row r="49" spans="1:5" x14ac:dyDescent="0.25">
      <c r="A49" s="26" t="s">
        <v>502</v>
      </c>
      <c r="B49" s="256" t="s">
        <v>501</v>
      </c>
      <c r="C49" s="18">
        <v>619216741443</v>
      </c>
      <c r="D49" s="2">
        <v>3.93</v>
      </c>
      <c r="E49" s="257" t="s">
        <v>419</v>
      </c>
    </row>
    <row r="50" spans="1:5" x14ac:dyDescent="0.25">
      <c r="A50" s="26" t="s">
        <v>502</v>
      </c>
      <c r="B50" s="256" t="s">
        <v>501</v>
      </c>
      <c r="C50" s="18">
        <v>619216741444</v>
      </c>
      <c r="D50" s="2">
        <v>3.83</v>
      </c>
      <c r="E50" s="257" t="s">
        <v>419</v>
      </c>
    </row>
    <row r="51" spans="1:5" x14ac:dyDescent="0.25">
      <c r="A51" s="26" t="s">
        <v>502</v>
      </c>
      <c r="B51" s="256" t="s">
        <v>501</v>
      </c>
      <c r="C51" s="18">
        <v>619216741445</v>
      </c>
      <c r="D51" s="2">
        <v>3.82</v>
      </c>
      <c r="E51" s="257" t="s">
        <v>419</v>
      </c>
    </row>
    <row r="52" spans="1:5" x14ac:dyDescent="0.25">
      <c r="A52" s="26" t="s">
        <v>502</v>
      </c>
      <c r="B52" s="256" t="s">
        <v>501</v>
      </c>
      <c r="C52" s="18">
        <v>619216741446</v>
      </c>
      <c r="D52" s="2">
        <v>3.78</v>
      </c>
      <c r="E52" s="257" t="s">
        <v>419</v>
      </c>
    </row>
    <row r="53" spans="1:5" x14ac:dyDescent="0.25">
      <c r="A53" s="26" t="s">
        <v>502</v>
      </c>
      <c r="B53" s="256" t="s">
        <v>501</v>
      </c>
      <c r="C53" s="18">
        <v>619216741447</v>
      </c>
      <c r="D53" s="2">
        <v>3.78</v>
      </c>
      <c r="E53" s="257" t="s">
        <v>419</v>
      </c>
    </row>
    <row r="54" spans="1:5" x14ac:dyDescent="0.25">
      <c r="A54" s="26" t="s">
        <v>502</v>
      </c>
      <c r="B54" s="256" t="s">
        <v>501</v>
      </c>
      <c r="C54" s="18">
        <v>619216741448</v>
      </c>
      <c r="D54" s="2">
        <v>3.72</v>
      </c>
      <c r="E54" s="257" t="s">
        <v>419</v>
      </c>
    </row>
    <row r="55" spans="1:5" x14ac:dyDescent="0.25">
      <c r="A55" s="26" t="s">
        <v>502</v>
      </c>
      <c r="B55" s="256" t="s">
        <v>501</v>
      </c>
      <c r="C55" s="18">
        <v>619216741449</v>
      </c>
      <c r="D55" s="2">
        <v>3.69</v>
      </c>
      <c r="E55" s="257" t="s">
        <v>419</v>
      </c>
    </row>
    <row r="56" spans="1:5" x14ac:dyDescent="0.25">
      <c r="A56" s="26" t="s">
        <v>502</v>
      </c>
      <c r="B56" s="256" t="s">
        <v>501</v>
      </c>
      <c r="C56" s="18">
        <v>619216741450</v>
      </c>
      <c r="D56" s="2">
        <v>3.66</v>
      </c>
      <c r="E56" s="257" t="s">
        <v>419</v>
      </c>
    </row>
    <row r="57" spans="1:5" x14ac:dyDescent="0.25">
      <c r="A57" s="26" t="s">
        <v>502</v>
      </c>
      <c r="B57" s="256" t="s">
        <v>501</v>
      </c>
      <c r="C57" s="18">
        <v>619216741451</v>
      </c>
      <c r="D57" s="2">
        <v>3.64</v>
      </c>
      <c r="E57" s="257" t="s">
        <v>419</v>
      </c>
    </row>
    <row r="58" spans="1:5" x14ac:dyDescent="0.25">
      <c r="A58" s="26" t="s">
        <v>502</v>
      </c>
      <c r="B58" s="256" t="s">
        <v>501</v>
      </c>
      <c r="C58" s="18">
        <v>619216741452</v>
      </c>
      <c r="D58" s="2">
        <v>3.55</v>
      </c>
      <c r="E58" s="257" t="s">
        <v>419</v>
      </c>
    </row>
    <row r="59" spans="1:5" x14ac:dyDescent="0.25">
      <c r="A59" s="26" t="s">
        <v>502</v>
      </c>
      <c r="B59" s="256" t="s">
        <v>501</v>
      </c>
      <c r="C59" s="18">
        <v>619216741453</v>
      </c>
      <c r="D59" s="2">
        <v>3.47</v>
      </c>
      <c r="E59" s="257" t="s">
        <v>419</v>
      </c>
    </row>
    <row r="60" spans="1:5" x14ac:dyDescent="0.25">
      <c r="A60" s="26" t="s">
        <v>502</v>
      </c>
      <c r="B60" s="256" t="s">
        <v>501</v>
      </c>
      <c r="C60" s="18">
        <v>619216371454</v>
      </c>
      <c r="D60" s="2">
        <v>3.45</v>
      </c>
      <c r="E60" s="257" t="s">
        <v>419</v>
      </c>
    </row>
    <row r="61" spans="1:5" x14ac:dyDescent="0.25">
      <c r="A61" s="26" t="s">
        <v>502</v>
      </c>
      <c r="B61" s="256" t="s">
        <v>501</v>
      </c>
      <c r="C61" s="18">
        <v>619216741455</v>
      </c>
      <c r="D61" s="2">
        <v>3.42</v>
      </c>
      <c r="E61" s="257" t="s">
        <v>419</v>
      </c>
    </row>
    <row r="62" spans="1:5" x14ac:dyDescent="0.25">
      <c r="A62" s="26" t="s">
        <v>502</v>
      </c>
      <c r="B62" s="256" t="s">
        <v>501</v>
      </c>
      <c r="C62" s="18">
        <v>619216741456</v>
      </c>
      <c r="D62" s="2">
        <v>3.39</v>
      </c>
      <c r="E62" s="257" t="s">
        <v>419</v>
      </c>
    </row>
    <row r="63" spans="1:5" x14ac:dyDescent="0.25">
      <c r="A63" s="26" t="s">
        <v>502</v>
      </c>
      <c r="B63" s="256" t="s">
        <v>501</v>
      </c>
      <c r="C63" s="18">
        <v>619216741457</v>
      </c>
      <c r="D63" s="2">
        <v>3.23</v>
      </c>
      <c r="E63" s="257" t="s">
        <v>419</v>
      </c>
    </row>
    <row r="64" spans="1:5" x14ac:dyDescent="0.25">
      <c r="A64" s="26" t="s">
        <v>502</v>
      </c>
      <c r="B64" s="256" t="s">
        <v>501</v>
      </c>
      <c r="C64" s="16">
        <v>619216741438</v>
      </c>
      <c r="D64" s="2">
        <v>3.22</v>
      </c>
      <c r="E64" s="226" t="s">
        <v>420</v>
      </c>
    </row>
    <row r="65" spans="1:5" x14ac:dyDescent="0.25">
      <c r="A65" s="26" t="s">
        <v>502</v>
      </c>
      <c r="B65" s="256" t="s">
        <v>501</v>
      </c>
      <c r="C65" s="16">
        <v>619216741437</v>
      </c>
      <c r="D65" s="2">
        <v>3.2</v>
      </c>
      <c r="E65" s="226" t="s">
        <v>420</v>
      </c>
    </row>
    <row r="66" spans="1:5" x14ac:dyDescent="0.25">
      <c r="A66" s="26" t="s">
        <v>502</v>
      </c>
      <c r="B66" s="256" t="s">
        <v>501</v>
      </c>
      <c r="C66" s="16">
        <v>619216741436</v>
      </c>
      <c r="D66" s="2">
        <v>3.18</v>
      </c>
      <c r="E66" s="226" t="s">
        <v>420</v>
      </c>
    </row>
    <row r="67" spans="1:5" x14ac:dyDescent="0.25">
      <c r="A67" s="26" t="s">
        <v>502</v>
      </c>
      <c r="B67" s="256" t="s">
        <v>501</v>
      </c>
      <c r="C67" s="16">
        <v>619216741435</v>
      </c>
      <c r="D67" s="2">
        <v>3.04</v>
      </c>
      <c r="E67" s="226" t="s">
        <v>420</v>
      </c>
    </row>
    <row r="68" spans="1:5" x14ac:dyDescent="0.25">
      <c r="A68" s="26" t="s">
        <v>502</v>
      </c>
      <c r="B68" s="256" t="s">
        <v>501</v>
      </c>
      <c r="C68" s="16">
        <v>619216741434</v>
      </c>
      <c r="D68" s="2">
        <v>3.01</v>
      </c>
      <c r="E68" s="226" t="s">
        <v>420</v>
      </c>
    </row>
    <row r="69" spans="1:5" x14ac:dyDescent="0.25">
      <c r="A69" s="26" t="s">
        <v>502</v>
      </c>
      <c r="B69" s="256" t="s">
        <v>501</v>
      </c>
      <c r="C69" s="16">
        <v>619216741433</v>
      </c>
      <c r="D69" s="2">
        <v>2.98</v>
      </c>
      <c r="E69" s="226" t="s">
        <v>420</v>
      </c>
    </row>
    <row r="70" spans="1:5" x14ac:dyDescent="0.25">
      <c r="A70" s="26" t="s">
        <v>502</v>
      </c>
      <c r="B70" s="256" t="s">
        <v>501</v>
      </c>
      <c r="C70" s="16">
        <v>619216371432</v>
      </c>
      <c r="D70" s="2">
        <v>2.68</v>
      </c>
      <c r="E70" s="226" t="s">
        <v>420</v>
      </c>
    </row>
    <row r="71" spans="1:5" x14ac:dyDescent="0.25">
      <c r="A71" s="26" t="s">
        <v>502</v>
      </c>
      <c r="B71" s="256" t="s">
        <v>501</v>
      </c>
      <c r="C71" s="16">
        <v>619216741431</v>
      </c>
      <c r="D71" s="2">
        <v>2.66</v>
      </c>
      <c r="E71" s="226" t="s">
        <v>420</v>
      </c>
    </row>
    <row r="72" spans="1:5" x14ac:dyDescent="0.25">
      <c r="A72" s="26" t="s">
        <v>502</v>
      </c>
      <c r="B72" s="256" t="s">
        <v>501</v>
      </c>
      <c r="C72" s="16">
        <v>619216741430</v>
      </c>
      <c r="D72" s="2" t="s">
        <v>615</v>
      </c>
      <c r="E72" s="226" t="s">
        <v>420</v>
      </c>
    </row>
    <row r="73" spans="1:5" x14ac:dyDescent="0.25">
      <c r="A73" s="26" t="s">
        <v>502</v>
      </c>
      <c r="B73" s="256" t="s">
        <v>501</v>
      </c>
      <c r="C73" s="16">
        <v>619216741429</v>
      </c>
      <c r="D73" s="2" t="s">
        <v>615</v>
      </c>
      <c r="E73" s="226" t="s">
        <v>420</v>
      </c>
    </row>
    <row r="74" spans="1:5" x14ac:dyDescent="0.25">
      <c r="A74" s="26" t="s">
        <v>502</v>
      </c>
      <c r="B74" s="256" t="s">
        <v>501</v>
      </c>
      <c r="C74" s="3" t="s">
        <v>503</v>
      </c>
      <c r="D74" s="2">
        <v>2.88</v>
      </c>
      <c r="E74" s="226" t="s">
        <v>420</v>
      </c>
    </row>
    <row r="75" spans="1:5" x14ac:dyDescent="0.25">
      <c r="A75" s="376" t="s">
        <v>669</v>
      </c>
      <c r="B75" s="180" t="s">
        <v>372</v>
      </c>
      <c r="C75" s="5" t="s">
        <v>670</v>
      </c>
      <c r="D75" s="8">
        <v>3.85</v>
      </c>
      <c r="E75" s="379" t="s">
        <v>419</v>
      </c>
    </row>
    <row r="76" spans="1:5" x14ac:dyDescent="0.25">
      <c r="A76" s="376" t="s">
        <v>669</v>
      </c>
      <c r="B76" s="180" t="s">
        <v>372</v>
      </c>
      <c r="C76" s="5" t="s">
        <v>671</v>
      </c>
      <c r="D76" s="8">
        <v>4.5</v>
      </c>
      <c r="E76" s="379" t="s">
        <v>419</v>
      </c>
    </row>
    <row r="77" spans="1:5" x14ac:dyDescent="0.25">
      <c r="A77" s="376" t="s">
        <v>669</v>
      </c>
      <c r="B77" s="180" t="s">
        <v>372</v>
      </c>
      <c r="C77" s="5" t="s">
        <v>672</v>
      </c>
      <c r="D77" s="8">
        <v>4.13</v>
      </c>
      <c r="E77" s="379" t="s">
        <v>419</v>
      </c>
    </row>
    <row r="78" spans="1:5" x14ac:dyDescent="0.25">
      <c r="A78" s="376" t="s">
        <v>669</v>
      </c>
      <c r="B78" s="180" t="s">
        <v>372</v>
      </c>
      <c r="C78" s="5" t="s">
        <v>673</v>
      </c>
      <c r="D78" s="8">
        <v>4.0199999999999996</v>
      </c>
      <c r="E78" s="379" t="s">
        <v>419</v>
      </c>
    </row>
    <row r="79" spans="1:5" x14ac:dyDescent="0.25">
      <c r="A79" s="376" t="s">
        <v>669</v>
      </c>
      <c r="B79" s="180" t="s">
        <v>372</v>
      </c>
      <c r="C79" s="5" t="s">
        <v>674</v>
      </c>
      <c r="D79" s="8">
        <v>4</v>
      </c>
      <c r="E79" s="379" t="s">
        <v>419</v>
      </c>
    </row>
    <row r="80" spans="1:5" x14ac:dyDescent="0.25">
      <c r="A80" s="376" t="s">
        <v>669</v>
      </c>
      <c r="B80" s="180" t="s">
        <v>372</v>
      </c>
      <c r="C80" s="5" t="s">
        <v>675</v>
      </c>
      <c r="D80" s="8">
        <v>4</v>
      </c>
      <c r="E80" s="379" t="s">
        <v>419</v>
      </c>
    </row>
    <row r="81" spans="1:5" x14ac:dyDescent="0.25">
      <c r="A81" s="376" t="s">
        <v>669</v>
      </c>
      <c r="B81" s="180" t="s">
        <v>372</v>
      </c>
      <c r="C81" s="5" t="s">
        <v>676</v>
      </c>
      <c r="D81" s="8">
        <v>3.99</v>
      </c>
      <c r="E81" s="379" t="s">
        <v>419</v>
      </c>
    </row>
    <row r="82" spans="1:5" x14ac:dyDescent="0.25">
      <c r="A82" s="376" t="s">
        <v>669</v>
      </c>
      <c r="B82" s="180" t="s">
        <v>372</v>
      </c>
      <c r="C82" s="5" t="s">
        <v>677</v>
      </c>
      <c r="D82" s="8">
        <v>3.9580000000000002</v>
      </c>
      <c r="E82" s="379" t="s">
        <v>419</v>
      </c>
    </row>
    <row r="83" spans="1:5" x14ac:dyDescent="0.25">
      <c r="A83" s="376" t="s">
        <v>669</v>
      </c>
      <c r="B83" s="180" t="s">
        <v>372</v>
      </c>
      <c r="C83" s="5" t="s">
        <v>678</v>
      </c>
      <c r="D83" s="8">
        <v>3.9580000000000002</v>
      </c>
      <c r="E83" s="379" t="s">
        <v>419</v>
      </c>
    </row>
    <row r="84" spans="1:5" x14ac:dyDescent="0.25">
      <c r="A84" s="376" t="s">
        <v>669</v>
      </c>
      <c r="B84" s="180" t="s">
        <v>372</v>
      </c>
      <c r="C84" s="5" t="s">
        <v>679</v>
      </c>
      <c r="D84" s="8">
        <v>3.93</v>
      </c>
      <c r="E84" s="379" t="s">
        <v>419</v>
      </c>
    </row>
    <row r="85" spans="1:5" x14ac:dyDescent="0.25">
      <c r="A85" s="376" t="s">
        <v>669</v>
      </c>
      <c r="B85" s="180" t="s">
        <v>372</v>
      </c>
      <c r="C85" s="5" t="s">
        <v>680</v>
      </c>
      <c r="D85" s="8">
        <v>3.82</v>
      </c>
      <c r="E85" s="379" t="s">
        <v>419</v>
      </c>
    </row>
    <row r="86" spans="1:5" x14ac:dyDescent="0.25">
      <c r="A86" s="376" t="s">
        <v>669</v>
      </c>
      <c r="B86" s="180" t="s">
        <v>372</v>
      </c>
      <c r="C86" s="5" t="s">
        <v>681</v>
      </c>
      <c r="D86" s="8">
        <v>3.73</v>
      </c>
      <c r="E86" s="379" t="s">
        <v>419</v>
      </c>
    </row>
    <row r="87" spans="1:5" x14ac:dyDescent="0.25">
      <c r="A87" s="376" t="s">
        <v>669</v>
      </c>
      <c r="B87" s="180" t="s">
        <v>372</v>
      </c>
      <c r="C87" s="5" t="s">
        <v>682</v>
      </c>
      <c r="D87" s="8">
        <v>3.71</v>
      </c>
      <c r="E87" s="379" t="s">
        <v>419</v>
      </c>
    </row>
    <row r="88" spans="1:5" x14ac:dyDescent="0.25">
      <c r="A88" s="376" t="s">
        <v>669</v>
      </c>
      <c r="B88" s="180" t="s">
        <v>372</v>
      </c>
      <c r="C88" s="5" t="s">
        <v>683</v>
      </c>
      <c r="D88" s="8">
        <v>3.69</v>
      </c>
      <c r="E88" s="379" t="s">
        <v>419</v>
      </c>
    </row>
    <row r="89" spans="1:5" x14ac:dyDescent="0.25">
      <c r="A89" s="376" t="s">
        <v>669</v>
      </c>
      <c r="B89" s="180" t="s">
        <v>372</v>
      </c>
      <c r="C89" s="5" t="s">
        <v>684</v>
      </c>
      <c r="D89" s="8">
        <v>3.69</v>
      </c>
      <c r="E89" s="379" t="s">
        <v>419</v>
      </c>
    </row>
    <row r="90" spans="1:5" x14ac:dyDescent="0.25">
      <c r="A90" s="376" t="s">
        <v>669</v>
      </c>
      <c r="B90" s="180" t="s">
        <v>372</v>
      </c>
      <c r="C90" s="5" t="s">
        <v>685</v>
      </c>
      <c r="D90" s="8">
        <v>3.67</v>
      </c>
      <c r="E90" s="379" t="s">
        <v>419</v>
      </c>
    </row>
    <row r="91" spans="1:5" x14ac:dyDescent="0.25">
      <c r="A91" s="376" t="s">
        <v>669</v>
      </c>
      <c r="B91" s="180" t="s">
        <v>372</v>
      </c>
      <c r="C91" s="5" t="s">
        <v>686</v>
      </c>
      <c r="D91" s="8">
        <v>3.62</v>
      </c>
      <c r="E91" s="379" t="s">
        <v>419</v>
      </c>
    </row>
    <row r="92" spans="1:5" x14ac:dyDescent="0.25">
      <c r="A92" s="376" t="s">
        <v>669</v>
      </c>
      <c r="B92" s="180" t="s">
        <v>372</v>
      </c>
      <c r="C92" s="5" t="s">
        <v>687</v>
      </c>
      <c r="D92" s="8">
        <v>3.61</v>
      </c>
      <c r="E92" s="379" t="s">
        <v>419</v>
      </c>
    </row>
    <row r="93" spans="1:5" x14ac:dyDescent="0.25">
      <c r="A93" s="376" t="s">
        <v>669</v>
      </c>
      <c r="B93" s="180" t="s">
        <v>372</v>
      </c>
      <c r="C93" s="5" t="s">
        <v>688</v>
      </c>
      <c r="D93" s="8">
        <v>3.54</v>
      </c>
      <c r="E93" s="379" t="s">
        <v>419</v>
      </c>
    </row>
    <row r="94" spans="1:5" x14ac:dyDescent="0.25">
      <c r="A94" s="376" t="s">
        <v>669</v>
      </c>
      <c r="B94" s="180" t="s">
        <v>372</v>
      </c>
      <c r="C94" s="5" t="s">
        <v>689</v>
      </c>
      <c r="D94" s="8">
        <v>3.53</v>
      </c>
      <c r="E94" s="379" t="s">
        <v>419</v>
      </c>
    </row>
    <row r="95" spans="1:5" x14ac:dyDescent="0.25">
      <c r="A95" s="376" t="s">
        <v>669</v>
      </c>
      <c r="B95" s="180" t="s">
        <v>372</v>
      </c>
      <c r="C95" s="5" t="s">
        <v>690</v>
      </c>
      <c r="D95" s="8">
        <v>3.48</v>
      </c>
      <c r="E95" s="379" t="s">
        <v>419</v>
      </c>
    </row>
    <row r="96" spans="1:5" x14ac:dyDescent="0.25">
      <c r="A96" s="376" t="s">
        <v>669</v>
      </c>
      <c r="B96" s="180" t="s">
        <v>372</v>
      </c>
      <c r="C96" s="5" t="s">
        <v>691</v>
      </c>
      <c r="D96" s="8">
        <v>3.45</v>
      </c>
      <c r="E96" s="379" t="s">
        <v>419</v>
      </c>
    </row>
    <row r="97" spans="1:5" x14ac:dyDescent="0.25">
      <c r="A97" s="376" t="s">
        <v>669</v>
      </c>
      <c r="B97" s="180" t="s">
        <v>372</v>
      </c>
      <c r="C97" s="5" t="s">
        <v>692</v>
      </c>
      <c r="D97" s="8">
        <v>3.44</v>
      </c>
      <c r="E97" s="379" t="s">
        <v>419</v>
      </c>
    </row>
    <row r="98" spans="1:5" x14ac:dyDescent="0.25">
      <c r="A98" s="376" t="s">
        <v>669</v>
      </c>
      <c r="B98" s="180" t="s">
        <v>372</v>
      </c>
      <c r="C98" s="5" t="s">
        <v>693</v>
      </c>
      <c r="D98" s="8">
        <v>3.34</v>
      </c>
      <c r="E98" s="226" t="s">
        <v>420</v>
      </c>
    </row>
    <row r="99" spans="1:5" x14ac:dyDescent="0.25">
      <c r="A99" s="376" t="s">
        <v>669</v>
      </c>
      <c r="B99" s="180" t="s">
        <v>372</v>
      </c>
      <c r="C99" s="5" t="s">
        <v>694</v>
      </c>
      <c r="D99" s="8">
        <v>3.33</v>
      </c>
      <c r="E99" s="226" t="s">
        <v>420</v>
      </c>
    </row>
    <row r="100" spans="1:5" x14ac:dyDescent="0.25">
      <c r="A100" s="376" t="s">
        <v>669</v>
      </c>
      <c r="B100" s="180" t="s">
        <v>372</v>
      </c>
      <c r="C100" s="5" t="s">
        <v>695</v>
      </c>
      <c r="D100" s="8">
        <v>3.28</v>
      </c>
      <c r="E100" s="226" t="s">
        <v>420</v>
      </c>
    </row>
    <row r="101" spans="1:5" x14ac:dyDescent="0.25">
      <c r="A101" s="376" t="s">
        <v>669</v>
      </c>
      <c r="B101" s="180" t="s">
        <v>372</v>
      </c>
      <c r="C101" s="5" t="s">
        <v>696</v>
      </c>
      <c r="D101" s="8">
        <v>3.23</v>
      </c>
      <c r="E101" s="226" t="s">
        <v>420</v>
      </c>
    </row>
    <row r="102" spans="1:5" x14ac:dyDescent="0.25">
      <c r="A102" s="376" t="s">
        <v>669</v>
      </c>
      <c r="B102" s="180" t="s">
        <v>372</v>
      </c>
      <c r="C102" s="5" t="s">
        <v>697</v>
      </c>
      <c r="D102" s="8">
        <v>3.19</v>
      </c>
      <c r="E102" s="226" t="s">
        <v>420</v>
      </c>
    </row>
    <row r="103" spans="1:5" x14ac:dyDescent="0.25">
      <c r="A103" s="376" t="s">
        <v>669</v>
      </c>
      <c r="B103" s="180" t="s">
        <v>372</v>
      </c>
      <c r="C103" s="5" t="s">
        <v>698</v>
      </c>
      <c r="D103" s="8">
        <v>3.18</v>
      </c>
      <c r="E103" s="226" t="s">
        <v>420</v>
      </c>
    </row>
    <row r="104" spans="1:5" x14ac:dyDescent="0.25">
      <c r="A104" s="376" t="s">
        <v>669</v>
      </c>
      <c r="B104" s="180" t="s">
        <v>372</v>
      </c>
      <c r="C104" s="5" t="s">
        <v>699</v>
      </c>
      <c r="D104" s="8">
        <v>3.09</v>
      </c>
      <c r="E104" s="226" t="s">
        <v>420</v>
      </c>
    </row>
    <row r="105" spans="1:5" x14ac:dyDescent="0.25">
      <c r="A105" s="376" t="s">
        <v>669</v>
      </c>
      <c r="B105" s="180" t="s">
        <v>372</v>
      </c>
      <c r="C105" s="5" t="s">
        <v>700</v>
      </c>
      <c r="D105" s="8">
        <v>3.05</v>
      </c>
      <c r="E105" s="226" t="s">
        <v>420</v>
      </c>
    </row>
    <row r="106" spans="1:5" x14ac:dyDescent="0.25">
      <c r="A106" s="376" t="s">
        <v>669</v>
      </c>
      <c r="B106" s="180" t="s">
        <v>372</v>
      </c>
      <c r="C106" s="5" t="s">
        <v>701</v>
      </c>
      <c r="D106" s="8">
        <v>3.03</v>
      </c>
      <c r="E106" s="226" t="s">
        <v>420</v>
      </c>
    </row>
    <row r="107" spans="1:5" x14ac:dyDescent="0.25">
      <c r="A107" s="376" t="s">
        <v>669</v>
      </c>
      <c r="B107" s="180" t="s">
        <v>372</v>
      </c>
      <c r="C107" s="5" t="s">
        <v>702</v>
      </c>
      <c r="D107" s="8">
        <v>3</v>
      </c>
      <c r="E107" s="226" t="s">
        <v>420</v>
      </c>
    </row>
    <row r="108" spans="1:5" x14ac:dyDescent="0.25">
      <c r="A108" s="376" t="s">
        <v>669</v>
      </c>
      <c r="B108" s="180" t="s">
        <v>372</v>
      </c>
      <c r="C108" s="5" t="s">
        <v>703</v>
      </c>
      <c r="D108" s="8">
        <v>3</v>
      </c>
      <c r="E108" s="226" t="s">
        <v>420</v>
      </c>
    </row>
    <row r="109" spans="1:5" x14ac:dyDescent="0.25">
      <c r="A109" s="376" t="s">
        <v>669</v>
      </c>
      <c r="B109" s="180" t="s">
        <v>372</v>
      </c>
      <c r="C109" s="5" t="s">
        <v>704</v>
      </c>
      <c r="D109" s="8">
        <v>3</v>
      </c>
      <c r="E109" s="226" t="s">
        <v>420</v>
      </c>
    </row>
    <row r="110" spans="1:5" x14ac:dyDescent="0.25">
      <c r="A110" s="376" t="s">
        <v>669</v>
      </c>
      <c r="B110" s="180" t="s">
        <v>372</v>
      </c>
      <c r="C110" s="5" t="s">
        <v>705</v>
      </c>
      <c r="D110" s="8">
        <v>2.97</v>
      </c>
      <c r="E110" s="226" t="s">
        <v>420</v>
      </c>
    </row>
    <row r="111" spans="1:5" x14ac:dyDescent="0.25">
      <c r="A111" s="376" t="s">
        <v>669</v>
      </c>
      <c r="B111" s="180" t="s">
        <v>372</v>
      </c>
      <c r="C111" s="5" t="s">
        <v>706</v>
      </c>
      <c r="D111" s="8">
        <v>2.92</v>
      </c>
      <c r="E111" s="226" t="s">
        <v>420</v>
      </c>
    </row>
    <row r="112" spans="1:5" x14ac:dyDescent="0.25">
      <c r="A112" s="376" t="s">
        <v>669</v>
      </c>
      <c r="B112" s="180" t="s">
        <v>372</v>
      </c>
      <c r="C112" s="5" t="s">
        <v>707</v>
      </c>
      <c r="D112" s="8">
        <v>2.86</v>
      </c>
      <c r="E112" s="226" t="s">
        <v>420</v>
      </c>
    </row>
    <row r="113" spans="1:5" x14ac:dyDescent="0.25">
      <c r="A113" s="376" t="s">
        <v>669</v>
      </c>
      <c r="B113" s="180" t="s">
        <v>372</v>
      </c>
      <c r="C113" s="5" t="s">
        <v>708</v>
      </c>
      <c r="D113" s="8">
        <v>2.59</v>
      </c>
      <c r="E113" s="226" t="s">
        <v>420</v>
      </c>
    </row>
    <row r="114" spans="1:5" x14ac:dyDescent="0.25">
      <c r="A114" s="376" t="s">
        <v>669</v>
      </c>
      <c r="B114" s="180" t="s">
        <v>372</v>
      </c>
      <c r="C114" s="5" t="s">
        <v>709</v>
      </c>
      <c r="D114" s="8">
        <v>0.39</v>
      </c>
      <c r="E114" s="226" t="s">
        <v>420</v>
      </c>
    </row>
    <row r="115" spans="1:5" x14ac:dyDescent="0.25">
      <c r="A115" s="377" t="s">
        <v>1065</v>
      </c>
      <c r="B115" s="378" t="s">
        <v>501</v>
      </c>
      <c r="C115" s="2" t="str">
        <f>"619217743183"</f>
        <v>619217743183</v>
      </c>
      <c r="D115">
        <v>4.5999999999999996</v>
      </c>
      <c r="E115" s="379" t="s">
        <v>419</v>
      </c>
    </row>
    <row r="116" spans="1:5" x14ac:dyDescent="0.25">
      <c r="A116" s="377" t="s">
        <v>1065</v>
      </c>
      <c r="B116" s="378" t="s">
        <v>501</v>
      </c>
      <c r="C116" s="2" t="str">
        <f>"619217743184"</f>
        <v>619217743184</v>
      </c>
      <c r="D116">
        <v>4.1900000000000004</v>
      </c>
      <c r="E116" s="379" t="s">
        <v>419</v>
      </c>
    </row>
    <row r="117" spans="1:5" x14ac:dyDescent="0.25">
      <c r="A117" s="377" t="s">
        <v>1065</v>
      </c>
      <c r="B117" s="378" t="s">
        <v>501</v>
      </c>
      <c r="C117" s="2" t="str">
        <f>"619217743185"</f>
        <v>619217743185</v>
      </c>
      <c r="D117">
        <v>4.0999999999999996</v>
      </c>
      <c r="E117" s="379" t="s">
        <v>419</v>
      </c>
    </row>
    <row r="118" spans="1:5" x14ac:dyDescent="0.25">
      <c r="A118" s="6" t="s">
        <v>1065</v>
      </c>
      <c r="B118" s="378" t="s">
        <v>501</v>
      </c>
      <c r="C118" s="2" t="str">
        <f>"619217743186"</f>
        <v>619217743186</v>
      </c>
      <c r="D118">
        <v>4.04</v>
      </c>
      <c r="E118" s="379" t="s">
        <v>419</v>
      </c>
    </row>
    <row r="119" spans="1:5" x14ac:dyDescent="0.25">
      <c r="A119" t="s">
        <v>1065</v>
      </c>
      <c r="B119" s="378" t="s">
        <v>501</v>
      </c>
      <c r="C119" s="2" t="str">
        <f>"619217743187"</f>
        <v>619217743187</v>
      </c>
      <c r="D119">
        <v>4.03</v>
      </c>
      <c r="E119" s="379" t="s">
        <v>419</v>
      </c>
    </row>
    <row r="120" spans="1:5" x14ac:dyDescent="0.25">
      <c r="A120" t="s">
        <v>1065</v>
      </c>
      <c r="B120" s="378" t="s">
        <v>501</v>
      </c>
      <c r="C120" s="2" t="str">
        <f>"619217743188"</f>
        <v>619217743188</v>
      </c>
      <c r="D120">
        <v>4.0199999999999996</v>
      </c>
      <c r="E120" s="379" t="s">
        <v>419</v>
      </c>
    </row>
    <row r="121" spans="1:5" x14ac:dyDescent="0.25">
      <c r="A121" t="s">
        <v>1065</v>
      </c>
      <c r="B121" s="378" t="s">
        <v>501</v>
      </c>
      <c r="C121" s="2" t="str">
        <f>"619217743189"</f>
        <v>619217743189</v>
      </c>
      <c r="D121">
        <v>3.98</v>
      </c>
      <c r="E121" s="379" t="s">
        <v>419</v>
      </c>
    </row>
    <row r="122" spans="1:5" x14ac:dyDescent="0.25">
      <c r="A122" s="377" t="s">
        <v>1065</v>
      </c>
      <c r="B122" s="378" t="s">
        <v>501</v>
      </c>
      <c r="C122" s="2" t="str">
        <f>"619217743190"</f>
        <v>619217743190</v>
      </c>
      <c r="D122">
        <v>3.94</v>
      </c>
      <c r="E122" s="379" t="s">
        <v>419</v>
      </c>
    </row>
    <row r="123" spans="1:5" x14ac:dyDescent="0.25">
      <c r="A123" s="377" t="s">
        <v>1065</v>
      </c>
      <c r="B123" s="378" t="s">
        <v>501</v>
      </c>
      <c r="C123" s="2" t="str">
        <f>"619217743191"</f>
        <v>619217743191</v>
      </c>
      <c r="D123">
        <v>3.91</v>
      </c>
      <c r="E123" s="379" t="s">
        <v>419</v>
      </c>
    </row>
    <row r="124" spans="1:5" x14ac:dyDescent="0.25">
      <c r="A124" s="377" t="s">
        <v>1065</v>
      </c>
      <c r="B124" s="378" t="s">
        <v>501</v>
      </c>
      <c r="C124" s="2" t="str">
        <f>"619217743192"</f>
        <v>619217743192</v>
      </c>
      <c r="D124">
        <v>3.84</v>
      </c>
      <c r="E124" s="379" t="s">
        <v>419</v>
      </c>
    </row>
    <row r="125" spans="1:5" x14ac:dyDescent="0.25">
      <c r="A125" s="6" t="s">
        <v>1065</v>
      </c>
      <c r="B125" s="378" t="s">
        <v>501</v>
      </c>
      <c r="C125" s="2" t="str">
        <f>"619217743193"</f>
        <v>619217743193</v>
      </c>
      <c r="D125">
        <v>3.83</v>
      </c>
      <c r="E125" s="379" t="s">
        <v>419</v>
      </c>
    </row>
    <row r="126" spans="1:5" x14ac:dyDescent="0.25">
      <c r="A126" t="s">
        <v>1065</v>
      </c>
      <c r="B126" s="378" t="s">
        <v>501</v>
      </c>
      <c r="C126" s="2" t="str">
        <f>"619217743194"</f>
        <v>619217743194</v>
      </c>
      <c r="D126">
        <v>3.79</v>
      </c>
      <c r="E126" s="379" t="s">
        <v>419</v>
      </c>
    </row>
    <row r="127" spans="1:5" x14ac:dyDescent="0.25">
      <c r="A127" t="s">
        <v>1065</v>
      </c>
      <c r="B127" s="378" t="s">
        <v>501</v>
      </c>
      <c r="C127" s="2" t="str">
        <f>"619217743195"</f>
        <v>619217743195</v>
      </c>
      <c r="D127">
        <v>3.73</v>
      </c>
      <c r="E127" s="379" t="s">
        <v>419</v>
      </c>
    </row>
    <row r="128" spans="1:5" x14ac:dyDescent="0.25">
      <c r="A128" t="s">
        <v>1065</v>
      </c>
      <c r="B128" s="378" t="s">
        <v>501</v>
      </c>
      <c r="C128" s="2" t="str">
        <f>"619217743196"</f>
        <v>619217743196</v>
      </c>
      <c r="D128">
        <v>3.68</v>
      </c>
      <c r="E128" s="379" t="s">
        <v>419</v>
      </c>
    </row>
    <row r="129" spans="1:5" x14ac:dyDescent="0.25">
      <c r="A129" s="377" t="s">
        <v>1065</v>
      </c>
      <c r="B129" s="378" t="s">
        <v>501</v>
      </c>
      <c r="C129" s="2" t="str">
        <f>"619217743197"</f>
        <v>619217743197</v>
      </c>
      <c r="D129">
        <v>3.66</v>
      </c>
      <c r="E129" s="379" t="s">
        <v>419</v>
      </c>
    </row>
    <row r="130" spans="1:5" x14ac:dyDescent="0.25">
      <c r="A130" s="377" t="s">
        <v>1065</v>
      </c>
      <c r="B130" s="378" t="s">
        <v>501</v>
      </c>
      <c r="C130" s="2" t="str">
        <f>"619217743198"</f>
        <v>619217743198</v>
      </c>
      <c r="D130">
        <v>3.6360000000000001</v>
      </c>
      <c r="E130" s="379" t="s">
        <v>419</v>
      </c>
    </row>
    <row r="131" spans="1:5" x14ac:dyDescent="0.25">
      <c r="A131" s="377" t="s">
        <v>1065</v>
      </c>
      <c r="B131" s="378" t="s">
        <v>501</v>
      </c>
      <c r="C131" s="2" t="str">
        <f>"619217743199"</f>
        <v>619217743199</v>
      </c>
      <c r="D131">
        <v>3.6360000000000001</v>
      </c>
      <c r="E131" s="379" t="s">
        <v>419</v>
      </c>
    </row>
    <row r="132" spans="1:5" x14ac:dyDescent="0.25">
      <c r="A132" s="6" t="s">
        <v>1065</v>
      </c>
      <c r="B132" s="378" t="s">
        <v>501</v>
      </c>
      <c r="C132" s="2" t="str">
        <f>"619217743200"</f>
        <v>619217743200</v>
      </c>
      <c r="D132">
        <v>3.6139999999999999</v>
      </c>
      <c r="E132" s="379" t="s">
        <v>419</v>
      </c>
    </row>
    <row r="133" spans="1:5" x14ac:dyDescent="0.25">
      <c r="A133" t="s">
        <v>1065</v>
      </c>
      <c r="B133" s="378" t="s">
        <v>501</v>
      </c>
      <c r="C133" s="2" t="str">
        <f>"619217743201"</f>
        <v>619217743201</v>
      </c>
      <c r="D133">
        <v>3.6139999999999999</v>
      </c>
      <c r="E133" s="379" t="s">
        <v>419</v>
      </c>
    </row>
    <row r="134" spans="1:5" x14ac:dyDescent="0.25">
      <c r="A134" t="s">
        <v>1065</v>
      </c>
      <c r="B134" s="378" t="s">
        <v>501</v>
      </c>
      <c r="C134" s="2" t="str">
        <f>"619217743202"</f>
        <v>619217743202</v>
      </c>
      <c r="D134">
        <v>3.6070000000000002</v>
      </c>
      <c r="E134" s="379" t="s">
        <v>419</v>
      </c>
    </row>
    <row r="135" spans="1:5" x14ac:dyDescent="0.25">
      <c r="A135" t="s">
        <v>1065</v>
      </c>
      <c r="B135" s="378" t="s">
        <v>501</v>
      </c>
      <c r="C135" s="2" t="str">
        <f>"619217743214"</f>
        <v>619217743214</v>
      </c>
      <c r="D135">
        <v>3.53</v>
      </c>
      <c r="E135" s="379" t="s">
        <v>419</v>
      </c>
    </row>
    <row r="136" spans="1:5" x14ac:dyDescent="0.25">
      <c r="A136" s="6" t="s">
        <v>1065</v>
      </c>
      <c r="B136" s="378" t="s">
        <v>501</v>
      </c>
      <c r="C136" s="2" t="str">
        <f>"619217743203"</f>
        <v>619217743203</v>
      </c>
      <c r="D136">
        <v>3.43</v>
      </c>
      <c r="E136" s="226" t="s">
        <v>420</v>
      </c>
    </row>
    <row r="137" spans="1:5" x14ac:dyDescent="0.25">
      <c r="A137" t="s">
        <v>1065</v>
      </c>
      <c r="B137" s="378" t="s">
        <v>501</v>
      </c>
      <c r="C137" s="2" t="str">
        <f>"619217743204"</f>
        <v>619217743204</v>
      </c>
      <c r="D137">
        <v>3.16</v>
      </c>
      <c r="E137" s="226" t="s">
        <v>420</v>
      </c>
    </row>
    <row r="138" spans="1:5" x14ac:dyDescent="0.25">
      <c r="A138" t="s">
        <v>1065</v>
      </c>
      <c r="B138" s="378" t="s">
        <v>501</v>
      </c>
      <c r="C138" s="2" t="str">
        <f>"619217743205"</f>
        <v>619217743205</v>
      </c>
      <c r="D138">
        <v>3.14</v>
      </c>
      <c r="E138" s="226" t="s">
        <v>420</v>
      </c>
    </row>
    <row r="139" spans="1:5" x14ac:dyDescent="0.25">
      <c r="A139" t="s">
        <v>1065</v>
      </c>
      <c r="B139" s="378" t="s">
        <v>501</v>
      </c>
      <c r="C139" s="2" t="str">
        <f>"619217743206"</f>
        <v>619217743206</v>
      </c>
      <c r="D139">
        <v>2.9</v>
      </c>
      <c r="E139" s="226" t="s">
        <v>420</v>
      </c>
    </row>
    <row r="140" spans="1:5" x14ac:dyDescent="0.25">
      <c r="A140" s="377" t="s">
        <v>1065</v>
      </c>
      <c r="B140" s="378" t="s">
        <v>501</v>
      </c>
      <c r="C140" s="2" t="str">
        <f>"619217743207"</f>
        <v>619217743207</v>
      </c>
      <c r="D140">
        <v>2.69</v>
      </c>
      <c r="E140" s="226" t="s">
        <v>420</v>
      </c>
    </row>
    <row r="141" spans="1:5" x14ac:dyDescent="0.25">
      <c r="A141" s="377" t="s">
        <v>1065</v>
      </c>
      <c r="B141" s="378" t="s">
        <v>501</v>
      </c>
      <c r="C141" s="2" t="str">
        <f>"619217743208"</f>
        <v>619217743208</v>
      </c>
      <c r="D141">
        <v>2.64</v>
      </c>
      <c r="E141" s="226" t="s">
        <v>420</v>
      </c>
    </row>
    <row r="142" spans="1:5" x14ac:dyDescent="0.25">
      <c r="A142" s="377" t="s">
        <v>1065</v>
      </c>
      <c r="B142" s="378" t="s">
        <v>501</v>
      </c>
      <c r="C142" s="2" t="str">
        <f>"619217743209"</f>
        <v>619217743209</v>
      </c>
      <c r="D142">
        <v>2.23</v>
      </c>
      <c r="E142" s="226" t="s">
        <v>420</v>
      </c>
    </row>
    <row r="143" spans="1:5" x14ac:dyDescent="0.25">
      <c r="A143" s="6" t="s">
        <v>1065</v>
      </c>
      <c r="B143" s="378" t="s">
        <v>501</v>
      </c>
      <c r="C143" s="2" t="str">
        <f>"619217743210"</f>
        <v>619217743210</v>
      </c>
      <c r="D143">
        <v>0.43</v>
      </c>
      <c r="E143" s="226" t="s">
        <v>420</v>
      </c>
    </row>
    <row r="144" spans="1:5" x14ac:dyDescent="0.25">
      <c r="A144" t="s">
        <v>1065</v>
      </c>
      <c r="B144" s="378" t="s">
        <v>501</v>
      </c>
      <c r="C144" s="2" t="str">
        <f>"619217743211"</f>
        <v>619217743211</v>
      </c>
      <c r="D144">
        <v>0.28999999999999998</v>
      </c>
      <c r="E144" s="226" t="s">
        <v>420</v>
      </c>
    </row>
    <row r="145" spans="1:5" x14ac:dyDescent="0.25">
      <c r="A145" t="s">
        <v>1065</v>
      </c>
      <c r="B145" s="378" t="s">
        <v>501</v>
      </c>
      <c r="C145" s="2" t="str">
        <f>"619217743212"</f>
        <v>619217743212</v>
      </c>
      <c r="D145">
        <v>0.14000000000000001</v>
      </c>
      <c r="E145" s="226" t="s">
        <v>420</v>
      </c>
    </row>
    <row r="146" spans="1:5" x14ac:dyDescent="0.25">
      <c r="A146" t="s">
        <v>1065</v>
      </c>
      <c r="B146" s="378" t="s">
        <v>501</v>
      </c>
      <c r="C146" s="179" t="str">
        <f>"619217743213"</f>
        <v>619217743213</v>
      </c>
      <c r="D146">
        <v>0.14000000000000001</v>
      </c>
      <c r="E146" s="383" t="s">
        <v>420</v>
      </c>
    </row>
    <row r="147" spans="1:5" x14ac:dyDescent="0.25">
      <c r="A147" s="2" t="s">
        <v>1098</v>
      </c>
      <c r="B147" s="546" t="s">
        <v>372</v>
      </c>
      <c r="C147" s="11">
        <v>19201800094</v>
      </c>
      <c r="D147" s="2">
        <v>4.4800000000000004</v>
      </c>
      <c r="E147" s="379" t="s">
        <v>419</v>
      </c>
    </row>
    <row r="148" spans="1:5" x14ac:dyDescent="0.25">
      <c r="A148" s="2" t="s">
        <v>1098</v>
      </c>
      <c r="B148" s="546" t="s">
        <v>372</v>
      </c>
      <c r="C148" s="11">
        <v>19201800026</v>
      </c>
      <c r="D148" s="2">
        <v>4.09</v>
      </c>
      <c r="E148" s="379" t="s">
        <v>419</v>
      </c>
    </row>
    <row r="149" spans="1:5" x14ac:dyDescent="0.25">
      <c r="A149" s="2" t="s">
        <v>1098</v>
      </c>
      <c r="B149" s="546" t="s">
        <v>372</v>
      </c>
      <c r="C149" s="11">
        <v>19201800043</v>
      </c>
      <c r="D149" s="2">
        <v>4.01</v>
      </c>
      <c r="E149" s="379" t="s">
        <v>419</v>
      </c>
    </row>
    <row r="150" spans="1:5" x14ac:dyDescent="0.25">
      <c r="A150" s="2" t="s">
        <v>1098</v>
      </c>
      <c r="B150" s="546" t="s">
        <v>372</v>
      </c>
      <c r="C150" s="11">
        <v>19201800078</v>
      </c>
      <c r="D150" s="2">
        <v>3.77</v>
      </c>
      <c r="E150" s="379" t="s">
        <v>419</v>
      </c>
    </row>
    <row r="151" spans="1:5" x14ac:dyDescent="0.25">
      <c r="A151" s="2" t="s">
        <v>1098</v>
      </c>
      <c r="B151" s="546" t="s">
        <v>372</v>
      </c>
      <c r="C151" s="11">
        <v>19201800101</v>
      </c>
      <c r="D151" s="2">
        <v>3.77</v>
      </c>
      <c r="E151" s="379" t="s">
        <v>419</v>
      </c>
    </row>
    <row r="152" spans="1:5" x14ac:dyDescent="0.25">
      <c r="A152" s="2" t="s">
        <v>1098</v>
      </c>
      <c r="B152" s="546" t="s">
        <v>372</v>
      </c>
      <c r="C152" s="11">
        <v>19201800073</v>
      </c>
      <c r="D152" s="2">
        <v>3.74</v>
      </c>
      <c r="E152" s="379" t="s">
        <v>419</v>
      </c>
    </row>
    <row r="153" spans="1:5" x14ac:dyDescent="0.25">
      <c r="A153" s="2" t="s">
        <v>1098</v>
      </c>
      <c r="B153" s="546" t="s">
        <v>372</v>
      </c>
      <c r="C153" s="11">
        <v>19201800092</v>
      </c>
      <c r="D153" s="2">
        <v>3.73</v>
      </c>
      <c r="E153" s="379" t="s">
        <v>419</v>
      </c>
    </row>
    <row r="154" spans="1:5" x14ac:dyDescent="0.25">
      <c r="A154" s="2" t="s">
        <v>1098</v>
      </c>
      <c r="B154" s="546" t="s">
        <v>372</v>
      </c>
      <c r="C154" s="11">
        <v>19201800093</v>
      </c>
      <c r="D154" s="2">
        <v>3.69</v>
      </c>
      <c r="E154" s="379" t="s">
        <v>419</v>
      </c>
    </row>
    <row r="155" spans="1:5" x14ac:dyDescent="0.25">
      <c r="A155" s="2" t="s">
        <v>1098</v>
      </c>
      <c r="B155" s="546" t="s">
        <v>372</v>
      </c>
      <c r="C155" s="11">
        <v>19201800075</v>
      </c>
      <c r="D155" s="2">
        <v>3.62</v>
      </c>
      <c r="E155" s="379" t="s">
        <v>419</v>
      </c>
    </row>
    <row r="156" spans="1:5" x14ac:dyDescent="0.25">
      <c r="A156" s="2" t="s">
        <v>1098</v>
      </c>
      <c r="B156" s="546" t="s">
        <v>372</v>
      </c>
      <c r="C156" s="11">
        <v>19201800087</v>
      </c>
      <c r="D156" s="2">
        <v>3.62</v>
      </c>
      <c r="E156" s="379" t="s">
        <v>419</v>
      </c>
    </row>
    <row r="157" spans="1:5" x14ac:dyDescent="0.25">
      <c r="A157" s="2" t="s">
        <v>1098</v>
      </c>
      <c r="B157" s="546" t="s">
        <v>372</v>
      </c>
      <c r="C157" s="11">
        <v>19201800049</v>
      </c>
      <c r="D157" s="2">
        <v>3.57</v>
      </c>
      <c r="E157" s="379" t="s">
        <v>419</v>
      </c>
    </row>
    <row r="158" spans="1:5" x14ac:dyDescent="0.25">
      <c r="A158" s="2" t="s">
        <v>1098</v>
      </c>
      <c r="B158" s="546" t="s">
        <v>372</v>
      </c>
      <c r="C158" s="11">
        <v>19201800098</v>
      </c>
      <c r="D158" s="2">
        <v>3.56</v>
      </c>
      <c r="E158" s="379" t="s">
        <v>419</v>
      </c>
    </row>
    <row r="159" spans="1:5" x14ac:dyDescent="0.25">
      <c r="A159" s="2" t="s">
        <v>1098</v>
      </c>
      <c r="B159" s="546" t="s">
        <v>372</v>
      </c>
      <c r="C159" s="11">
        <v>19201800028</v>
      </c>
      <c r="D159" s="2">
        <v>3.55</v>
      </c>
      <c r="E159" s="379" t="s">
        <v>419</v>
      </c>
    </row>
    <row r="160" spans="1:5" x14ac:dyDescent="0.25">
      <c r="A160" s="2" t="s">
        <v>1098</v>
      </c>
      <c r="B160" s="546" t="s">
        <v>372</v>
      </c>
      <c r="C160" s="11">
        <v>19201800040</v>
      </c>
      <c r="D160" s="2">
        <v>3.53</v>
      </c>
      <c r="E160" s="379" t="s">
        <v>419</v>
      </c>
    </row>
    <row r="161" spans="1:5" x14ac:dyDescent="0.25">
      <c r="A161" s="2" t="s">
        <v>1098</v>
      </c>
      <c r="B161" s="546" t="s">
        <v>372</v>
      </c>
      <c r="C161" s="11">
        <v>19201800102</v>
      </c>
      <c r="D161" s="2">
        <v>3.53</v>
      </c>
      <c r="E161" s="379" t="s">
        <v>419</v>
      </c>
    </row>
    <row r="162" spans="1:5" x14ac:dyDescent="0.25">
      <c r="A162" s="2" t="s">
        <v>1098</v>
      </c>
      <c r="B162" s="546" t="s">
        <v>372</v>
      </c>
      <c r="C162" s="11">
        <v>19201800072</v>
      </c>
      <c r="D162" s="2">
        <v>3.51</v>
      </c>
      <c r="E162" s="379" t="s">
        <v>419</v>
      </c>
    </row>
    <row r="163" spans="1:5" x14ac:dyDescent="0.25">
      <c r="A163" s="2" t="s">
        <v>1098</v>
      </c>
      <c r="B163" s="546" t="s">
        <v>372</v>
      </c>
      <c r="C163" s="11">
        <v>19201800048</v>
      </c>
      <c r="D163" s="2">
        <v>3.5</v>
      </c>
      <c r="E163" s="379" t="s">
        <v>419</v>
      </c>
    </row>
    <row r="164" spans="1:5" x14ac:dyDescent="0.25">
      <c r="A164" s="2" t="s">
        <v>1098</v>
      </c>
      <c r="B164" s="546" t="s">
        <v>372</v>
      </c>
      <c r="C164" s="11">
        <v>19201800065</v>
      </c>
      <c r="D164" s="2">
        <v>3.5</v>
      </c>
      <c r="E164" s="379" t="s">
        <v>419</v>
      </c>
    </row>
    <row r="165" spans="1:5" x14ac:dyDescent="0.25">
      <c r="A165" s="2" t="s">
        <v>1098</v>
      </c>
      <c r="B165" s="546" t="s">
        <v>372</v>
      </c>
      <c r="C165" s="11">
        <v>19201800097</v>
      </c>
      <c r="D165" s="2">
        <v>3.48</v>
      </c>
      <c r="E165" s="379" t="s">
        <v>419</v>
      </c>
    </row>
    <row r="166" spans="1:5" x14ac:dyDescent="0.25">
      <c r="A166" s="2" t="s">
        <v>1098</v>
      </c>
      <c r="B166" s="546" t="s">
        <v>372</v>
      </c>
      <c r="C166" s="11">
        <v>19201800047</v>
      </c>
      <c r="D166" s="2">
        <v>3.44</v>
      </c>
      <c r="E166" s="379" t="s">
        <v>419</v>
      </c>
    </row>
    <row r="167" spans="1:5" x14ac:dyDescent="0.25">
      <c r="A167" s="2" t="s">
        <v>1098</v>
      </c>
      <c r="B167" s="546" t="s">
        <v>372</v>
      </c>
      <c r="C167" s="11">
        <v>19201800062</v>
      </c>
      <c r="D167" s="2">
        <v>3.44</v>
      </c>
      <c r="E167" s="379" t="s">
        <v>419</v>
      </c>
    </row>
    <row r="168" spans="1:5" x14ac:dyDescent="0.25">
      <c r="A168" s="2" t="s">
        <v>1098</v>
      </c>
      <c r="B168" s="546" t="s">
        <v>372</v>
      </c>
      <c r="C168" s="11">
        <v>19201800099</v>
      </c>
      <c r="D168" s="2">
        <v>3.41</v>
      </c>
      <c r="E168" s="379" t="s">
        <v>419</v>
      </c>
    </row>
    <row r="169" spans="1:5" x14ac:dyDescent="0.25">
      <c r="A169" s="2" t="s">
        <v>1098</v>
      </c>
      <c r="B169" s="546" t="s">
        <v>372</v>
      </c>
      <c r="C169" s="11">
        <v>19201800027</v>
      </c>
      <c r="D169" s="2">
        <v>3.42</v>
      </c>
      <c r="E169" s="226" t="s">
        <v>420</v>
      </c>
    </row>
    <row r="170" spans="1:5" x14ac:dyDescent="0.25">
      <c r="A170" s="2" t="s">
        <v>1098</v>
      </c>
      <c r="B170" s="546" t="s">
        <v>372</v>
      </c>
      <c r="C170" s="11">
        <v>19201800050</v>
      </c>
      <c r="D170" s="2">
        <v>3.37</v>
      </c>
      <c r="E170" s="226" t="s">
        <v>420</v>
      </c>
    </row>
    <row r="171" spans="1:5" x14ac:dyDescent="0.25">
      <c r="A171" s="2" t="s">
        <v>1098</v>
      </c>
      <c r="B171" s="546" t="s">
        <v>372</v>
      </c>
      <c r="C171" s="11">
        <v>19201800064</v>
      </c>
      <c r="D171" s="2">
        <v>3.26</v>
      </c>
      <c r="E171" s="226" t="s">
        <v>420</v>
      </c>
    </row>
    <row r="172" spans="1:5" x14ac:dyDescent="0.25">
      <c r="A172" s="2" t="s">
        <v>1098</v>
      </c>
      <c r="B172" s="546" t="s">
        <v>372</v>
      </c>
      <c r="C172" s="11">
        <v>19201800090</v>
      </c>
      <c r="D172" s="2">
        <v>3.22</v>
      </c>
      <c r="E172" s="226" t="s">
        <v>420</v>
      </c>
    </row>
    <row r="173" spans="1:5" x14ac:dyDescent="0.25">
      <c r="A173" s="2" t="s">
        <v>1098</v>
      </c>
      <c r="B173" s="546" t="s">
        <v>372</v>
      </c>
      <c r="C173" s="11">
        <v>19201800071</v>
      </c>
      <c r="D173" s="2">
        <v>3.1</v>
      </c>
      <c r="E173" s="226" t="s">
        <v>420</v>
      </c>
    </row>
    <row r="174" spans="1:5" x14ac:dyDescent="0.25">
      <c r="A174" s="2" t="s">
        <v>1098</v>
      </c>
      <c r="B174" s="546" t="s">
        <v>372</v>
      </c>
      <c r="C174" s="11">
        <v>19201800061</v>
      </c>
      <c r="D174" s="2">
        <v>3.07</v>
      </c>
      <c r="E174" s="226" t="s">
        <v>420</v>
      </c>
    </row>
    <row r="175" spans="1:5" x14ac:dyDescent="0.25">
      <c r="A175" s="2" t="s">
        <v>1098</v>
      </c>
      <c r="B175" s="546" t="s">
        <v>372</v>
      </c>
      <c r="C175" s="11">
        <v>19201800034</v>
      </c>
      <c r="D175" s="2">
        <v>3.06</v>
      </c>
      <c r="E175" s="226" t="s">
        <v>420</v>
      </c>
    </row>
    <row r="176" spans="1:5" x14ac:dyDescent="0.25">
      <c r="A176" s="2" t="s">
        <v>1098</v>
      </c>
      <c r="B176" s="546" t="s">
        <v>372</v>
      </c>
      <c r="C176" s="11">
        <v>19201800074</v>
      </c>
      <c r="D176" s="2">
        <v>3.05</v>
      </c>
      <c r="E176" s="226" t="s">
        <v>420</v>
      </c>
    </row>
    <row r="177" spans="1:5" x14ac:dyDescent="0.25">
      <c r="A177" s="2" t="s">
        <v>1098</v>
      </c>
      <c r="B177" s="546" t="s">
        <v>372</v>
      </c>
      <c r="C177" s="11">
        <v>19201800096</v>
      </c>
      <c r="D177" s="2">
        <v>2.94</v>
      </c>
      <c r="E177" s="226" t="s">
        <v>420</v>
      </c>
    </row>
    <row r="178" spans="1:5" x14ac:dyDescent="0.25">
      <c r="A178" s="2" t="s">
        <v>1098</v>
      </c>
      <c r="B178" s="546" t="s">
        <v>372</v>
      </c>
      <c r="C178" s="11">
        <v>19201800031</v>
      </c>
      <c r="D178" s="2">
        <v>2.71</v>
      </c>
      <c r="E178" s="226" t="s">
        <v>420</v>
      </c>
    </row>
    <row r="179" spans="1:5" x14ac:dyDescent="0.25">
      <c r="A179" s="2" t="s">
        <v>1098</v>
      </c>
      <c r="B179" s="546" t="s">
        <v>372</v>
      </c>
      <c r="C179" s="11">
        <v>19201800089</v>
      </c>
      <c r="D179" s="2">
        <v>2.62</v>
      </c>
      <c r="E179" s="226" t="s">
        <v>420</v>
      </c>
    </row>
    <row r="180" spans="1:5" x14ac:dyDescent="0.25">
      <c r="A180" s="2" t="s">
        <v>1098</v>
      </c>
      <c r="B180" s="546" t="s">
        <v>372</v>
      </c>
      <c r="C180" s="11">
        <v>19201800063</v>
      </c>
      <c r="D180" s="2">
        <v>2.54</v>
      </c>
      <c r="E180" s="226" t="s">
        <v>420</v>
      </c>
    </row>
    <row r="181" spans="1:5" x14ac:dyDescent="0.25">
      <c r="A181" s="2" t="s">
        <v>1098</v>
      </c>
      <c r="B181" s="546" t="s">
        <v>372</v>
      </c>
      <c r="C181" s="11">
        <v>19201800100</v>
      </c>
      <c r="D181" s="2">
        <v>2.2799999999999998</v>
      </c>
      <c r="E181" s="226" t="s">
        <v>420</v>
      </c>
    </row>
    <row r="182" spans="1:5" x14ac:dyDescent="0.25">
      <c r="A182" s="2" t="s">
        <v>1098</v>
      </c>
      <c r="B182" s="546" t="s">
        <v>372</v>
      </c>
      <c r="C182" s="11">
        <v>19201800046</v>
      </c>
      <c r="D182" s="2">
        <v>0</v>
      </c>
      <c r="E182" s="226" t="s">
        <v>1099</v>
      </c>
    </row>
    <row r="183" spans="1:5" x14ac:dyDescent="0.25">
      <c r="A183" s="2" t="s">
        <v>1098</v>
      </c>
      <c r="B183" s="546" t="s">
        <v>372</v>
      </c>
      <c r="C183" s="11">
        <v>19201800076</v>
      </c>
      <c r="D183" s="2">
        <v>0</v>
      </c>
      <c r="E183" s="226" t="s">
        <v>1099</v>
      </c>
    </row>
    <row r="184" spans="1:5" x14ac:dyDescent="0.25">
      <c r="A184" s="2" t="s">
        <v>1098</v>
      </c>
      <c r="B184" s="546" t="s">
        <v>372</v>
      </c>
      <c r="C184" s="11">
        <v>19201800088</v>
      </c>
      <c r="D184" s="2">
        <v>0</v>
      </c>
      <c r="E184" s="226" t="s">
        <v>1099</v>
      </c>
    </row>
    <row r="185" spans="1:5" x14ac:dyDescent="0.25">
      <c r="A185" s="26" t="s">
        <v>1158</v>
      </c>
      <c r="B185" s="546" t="s">
        <v>501</v>
      </c>
      <c r="C185" s="2">
        <v>19201800996</v>
      </c>
      <c r="D185" s="2">
        <v>4.04</v>
      </c>
      <c r="E185" s="379" t="s">
        <v>419</v>
      </c>
    </row>
    <row r="186" spans="1:5" x14ac:dyDescent="0.25">
      <c r="A186" s="2" t="s">
        <v>1158</v>
      </c>
      <c r="B186" s="546" t="s">
        <v>501</v>
      </c>
      <c r="C186" s="2">
        <v>19201801023</v>
      </c>
      <c r="D186" s="2">
        <v>4.01</v>
      </c>
      <c r="E186" s="379" t="s">
        <v>419</v>
      </c>
    </row>
    <row r="187" spans="1:5" x14ac:dyDescent="0.25">
      <c r="A187" s="2" t="s">
        <v>1158</v>
      </c>
      <c r="B187" s="546" t="s">
        <v>501</v>
      </c>
      <c r="C187" s="2">
        <v>19201801012</v>
      </c>
      <c r="D187" s="2">
        <v>3.95</v>
      </c>
      <c r="E187" s="379" t="s">
        <v>419</v>
      </c>
    </row>
    <row r="188" spans="1:5" x14ac:dyDescent="0.25">
      <c r="A188" s="2" t="s">
        <v>1158</v>
      </c>
      <c r="B188" s="546" t="s">
        <v>501</v>
      </c>
      <c r="C188" s="2">
        <v>19201801009</v>
      </c>
      <c r="D188" s="2">
        <v>3.9</v>
      </c>
      <c r="E188" s="379" t="s">
        <v>419</v>
      </c>
    </row>
    <row r="189" spans="1:5" x14ac:dyDescent="0.25">
      <c r="A189" s="26" t="s">
        <v>1158</v>
      </c>
      <c r="B189" s="546" t="s">
        <v>501</v>
      </c>
      <c r="C189" s="2">
        <v>19201801018</v>
      </c>
      <c r="D189" s="2">
        <v>3.9</v>
      </c>
      <c r="E189" s="379" t="s">
        <v>419</v>
      </c>
    </row>
    <row r="190" spans="1:5" x14ac:dyDescent="0.25">
      <c r="A190" s="2" t="s">
        <v>1158</v>
      </c>
      <c r="B190" s="546" t="s">
        <v>501</v>
      </c>
      <c r="C190" s="2">
        <v>19201801010</v>
      </c>
      <c r="D190" s="2">
        <v>3.85</v>
      </c>
      <c r="E190" s="379" t="s">
        <v>419</v>
      </c>
    </row>
    <row r="191" spans="1:5" x14ac:dyDescent="0.25">
      <c r="A191" s="2" t="s">
        <v>1158</v>
      </c>
      <c r="B191" s="546" t="s">
        <v>501</v>
      </c>
      <c r="C191" s="2">
        <v>19201801022</v>
      </c>
      <c r="D191" s="2">
        <v>3.68</v>
      </c>
      <c r="E191" s="379" t="s">
        <v>419</v>
      </c>
    </row>
    <row r="192" spans="1:5" x14ac:dyDescent="0.25">
      <c r="A192" s="2" t="s">
        <v>1158</v>
      </c>
      <c r="B192" s="546" t="s">
        <v>501</v>
      </c>
      <c r="C192" s="2">
        <v>19201800986</v>
      </c>
      <c r="D192" s="2">
        <v>3.67</v>
      </c>
      <c r="E192" s="379" t="s">
        <v>419</v>
      </c>
    </row>
    <row r="193" spans="1:5" x14ac:dyDescent="0.25">
      <c r="A193" s="26" t="s">
        <v>1158</v>
      </c>
      <c r="B193" s="546" t="s">
        <v>501</v>
      </c>
      <c r="C193" s="2">
        <v>19201800989</v>
      </c>
      <c r="D193" s="2">
        <v>3.61</v>
      </c>
      <c r="E193" s="379" t="s">
        <v>419</v>
      </c>
    </row>
    <row r="194" spans="1:5" x14ac:dyDescent="0.25">
      <c r="A194" s="2" t="s">
        <v>1158</v>
      </c>
      <c r="B194" s="546" t="s">
        <v>501</v>
      </c>
      <c r="C194" s="2">
        <v>19201801019</v>
      </c>
      <c r="D194" s="2">
        <v>3.61</v>
      </c>
      <c r="E194" s="379" t="s">
        <v>419</v>
      </c>
    </row>
    <row r="195" spans="1:5" x14ac:dyDescent="0.25">
      <c r="A195" s="2" t="s">
        <v>1158</v>
      </c>
      <c r="B195" s="546" t="s">
        <v>501</v>
      </c>
      <c r="C195" s="2">
        <v>19201800991</v>
      </c>
      <c r="D195" s="2">
        <v>3.57</v>
      </c>
      <c r="E195" s="379" t="s">
        <v>419</v>
      </c>
    </row>
    <row r="196" spans="1:5" x14ac:dyDescent="0.25">
      <c r="A196" s="2" t="s">
        <v>1158</v>
      </c>
      <c r="B196" s="546" t="s">
        <v>501</v>
      </c>
      <c r="C196" s="2">
        <v>19201801054</v>
      </c>
      <c r="D196" s="2">
        <v>3.55</v>
      </c>
      <c r="E196" s="379" t="s">
        <v>419</v>
      </c>
    </row>
    <row r="197" spans="1:5" x14ac:dyDescent="0.25">
      <c r="A197" s="26" t="s">
        <v>1158</v>
      </c>
      <c r="B197" s="546" t="s">
        <v>501</v>
      </c>
      <c r="C197" s="2">
        <v>19201801002</v>
      </c>
      <c r="D197" s="2">
        <v>3.51</v>
      </c>
      <c r="E197" s="379" t="s">
        <v>419</v>
      </c>
    </row>
    <row r="198" spans="1:5" x14ac:dyDescent="0.25">
      <c r="A198" s="2" t="s">
        <v>1158</v>
      </c>
      <c r="B198" s="546" t="s">
        <v>501</v>
      </c>
      <c r="C198" s="639">
        <v>19201801014</v>
      </c>
      <c r="D198" s="2">
        <v>3.47</v>
      </c>
      <c r="E198" s="226" t="s">
        <v>420</v>
      </c>
    </row>
    <row r="199" spans="1:5" x14ac:dyDescent="0.25">
      <c r="A199" s="2" t="s">
        <v>1158</v>
      </c>
      <c r="B199" s="546" t="s">
        <v>501</v>
      </c>
      <c r="C199" s="2">
        <v>19201801024</v>
      </c>
      <c r="D199" s="2">
        <v>3.47</v>
      </c>
      <c r="E199" s="379" t="s">
        <v>419</v>
      </c>
    </row>
    <row r="200" spans="1:5" x14ac:dyDescent="0.25">
      <c r="A200" s="2" t="s">
        <v>1158</v>
      </c>
      <c r="B200" s="546" t="s">
        <v>501</v>
      </c>
      <c r="C200" s="2">
        <v>19201801006</v>
      </c>
      <c r="D200" s="2">
        <v>3.45</v>
      </c>
      <c r="E200" s="379" t="s">
        <v>419</v>
      </c>
    </row>
    <row r="201" spans="1:5" x14ac:dyDescent="0.25">
      <c r="A201" s="26" t="s">
        <v>1158</v>
      </c>
      <c r="B201" s="546" t="s">
        <v>501</v>
      </c>
      <c r="C201" s="2">
        <v>19201801011</v>
      </c>
      <c r="D201" s="2">
        <v>3.45</v>
      </c>
      <c r="E201" s="226" t="s">
        <v>420</v>
      </c>
    </row>
    <row r="202" spans="1:5" x14ac:dyDescent="0.25">
      <c r="A202" s="2" t="s">
        <v>1158</v>
      </c>
      <c r="B202" s="546" t="s">
        <v>501</v>
      </c>
      <c r="C202" s="2">
        <v>19201801013</v>
      </c>
      <c r="D202" s="2">
        <v>3.43</v>
      </c>
      <c r="E202" s="226" t="s">
        <v>420</v>
      </c>
    </row>
    <row r="203" spans="1:5" x14ac:dyDescent="0.25">
      <c r="A203" s="2" t="s">
        <v>1158</v>
      </c>
      <c r="B203" s="546" t="s">
        <v>501</v>
      </c>
      <c r="C203" s="2">
        <v>19201800998</v>
      </c>
      <c r="D203" s="2">
        <v>3.42</v>
      </c>
      <c r="E203" s="226" t="s">
        <v>420</v>
      </c>
    </row>
    <row r="204" spans="1:5" x14ac:dyDescent="0.25">
      <c r="A204" s="2" t="s">
        <v>1158</v>
      </c>
      <c r="B204" s="546" t="s">
        <v>501</v>
      </c>
      <c r="C204" s="2">
        <v>19201800974</v>
      </c>
      <c r="D204" s="2">
        <v>3.38</v>
      </c>
      <c r="E204" s="226" t="s">
        <v>420</v>
      </c>
    </row>
    <row r="205" spans="1:5" x14ac:dyDescent="0.25">
      <c r="A205" s="2" t="s">
        <v>1158</v>
      </c>
      <c r="B205" s="546" t="s">
        <v>501</v>
      </c>
      <c r="C205" s="2">
        <v>19201800992</v>
      </c>
      <c r="D205" s="2">
        <v>3.38</v>
      </c>
      <c r="E205" s="226" t="s">
        <v>420</v>
      </c>
    </row>
    <row r="206" spans="1:5" x14ac:dyDescent="0.25">
      <c r="A206" s="2" t="s">
        <v>1158</v>
      </c>
      <c r="B206" s="546" t="s">
        <v>501</v>
      </c>
      <c r="C206" s="2">
        <v>19201801016</v>
      </c>
      <c r="D206" s="2">
        <v>3.38</v>
      </c>
      <c r="E206" s="226" t="s">
        <v>420</v>
      </c>
    </row>
    <row r="207" spans="1:5" x14ac:dyDescent="0.25">
      <c r="A207" s="2" t="s">
        <v>1158</v>
      </c>
      <c r="B207" s="546" t="s">
        <v>501</v>
      </c>
      <c r="C207" s="2">
        <v>19201801000</v>
      </c>
      <c r="D207" s="2">
        <v>3.36</v>
      </c>
      <c r="E207" s="226" t="s">
        <v>420</v>
      </c>
    </row>
    <row r="208" spans="1:5" x14ac:dyDescent="0.25">
      <c r="A208" s="26" t="s">
        <v>1158</v>
      </c>
      <c r="B208" s="546" t="s">
        <v>501</v>
      </c>
      <c r="C208" s="2">
        <v>19201800983</v>
      </c>
      <c r="D208" s="2">
        <v>3.33</v>
      </c>
      <c r="E208" s="226" t="s">
        <v>420</v>
      </c>
    </row>
    <row r="209" spans="1:5" x14ac:dyDescent="0.25">
      <c r="A209" s="2" t="s">
        <v>1158</v>
      </c>
      <c r="B209" s="546" t="s">
        <v>501</v>
      </c>
      <c r="C209" s="2">
        <v>19201801004</v>
      </c>
      <c r="D209" s="2">
        <v>3.3</v>
      </c>
      <c r="E209" s="226" t="s">
        <v>420</v>
      </c>
    </row>
    <row r="210" spans="1:5" x14ac:dyDescent="0.25">
      <c r="A210" s="2" t="s">
        <v>1158</v>
      </c>
      <c r="B210" s="546" t="s">
        <v>501</v>
      </c>
      <c r="C210" s="2">
        <v>19201801008</v>
      </c>
      <c r="D210" s="2">
        <v>3.27</v>
      </c>
      <c r="E210" s="226" t="s">
        <v>420</v>
      </c>
    </row>
    <row r="211" spans="1:5" x14ac:dyDescent="0.25">
      <c r="A211" s="2" t="s">
        <v>1158</v>
      </c>
      <c r="B211" s="546" t="s">
        <v>501</v>
      </c>
      <c r="C211" s="2">
        <v>19201801017</v>
      </c>
      <c r="D211" s="2">
        <v>3.19</v>
      </c>
      <c r="E211" s="226" t="s">
        <v>420</v>
      </c>
    </row>
    <row r="212" spans="1:5" x14ac:dyDescent="0.25">
      <c r="A212" s="26" t="s">
        <v>1158</v>
      </c>
      <c r="B212" s="546" t="s">
        <v>501</v>
      </c>
      <c r="C212" s="2">
        <v>19201801025</v>
      </c>
      <c r="D212" s="2">
        <v>3.1</v>
      </c>
      <c r="E212" s="226" t="s">
        <v>420</v>
      </c>
    </row>
    <row r="213" spans="1:5" x14ac:dyDescent="0.25">
      <c r="A213" s="2" t="s">
        <v>1158</v>
      </c>
      <c r="B213" s="546" t="s">
        <v>501</v>
      </c>
      <c r="C213" s="2">
        <v>19201800985</v>
      </c>
      <c r="D213" s="2">
        <v>3.08</v>
      </c>
      <c r="E213" s="226" t="s">
        <v>420</v>
      </c>
    </row>
    <row r="214" spans="1:5" x14ac:dyDescent="0.25">
      <c r="A214" s="2" t="s">
        <v>1158</v>
      </c>
      <c r="B214" s="546" t="s">
        <v>501</v>
      </c>
      <c r="C214" s="2">
        <v>19201800988</v>
      </c>
      <c r="D214" s="2">
        <v>3.01</v>
      </c>
      <c r="E214" s="226" t="s">
        <v>420</v>
      </c>
    </row>
    <row r="215" spans="1:5" x14ac:dyDescent="0.25">
      <c r="A215" s="2" t="s">
        <v>1158</v>
      </c>
      <c r="B215" s="546" t="s">
        <v>501</v>
      </c>
      <c r="C215" s="2">
        <v>19201801020</v>
      </c>
      <c r="D215" s="2">
        <v>3</v>
      </c>
      <c r="E215" s="226" t="s">
        <v>420</v>
      </c>
    </row>
    <row r="216" spans="1:5" x14ac:dyDescent="0.25">
      <c r="A216" s="2" t="s">
        <v>1158</v>
      </c>
      <c r="B216" s="546" t="s">
        <v>501</v>
      </c>
      <c r="C216" s="2">
        <v>19201800999</v>
      </c>
      <c r="D216" s="2">
        <v>2.93</v>
      </c>
      <c r="E216" s="226" t="s">
        <v>420</v>
      </c>
    </row>
    <row r="217" spans="1:5" x14ac:dyDescent="0.25">
      <c r="A217" s="26" t="s">
        <v>1158</v>
      </c>
      <c r="B217" s="546" t="s">
        <v>501</v>
      </c>
      <c r="C217" s="2">
        <v>19201801015</v>
      </c>
      <c r="D217" s="2">
        <v>2.93</v>
      </c>
      <c r="E217" s="226" t="s">
        <v>420</v>
      </c>
    </row>
    <row r="218" spans="1:5" x14ac:dyDescent="0.25">
      <c r="A218" s="2" t="s">
        <v>1158</v>
      </c>
      <c r="B218" s="546" t="s">
        <v>501</v>
      </c>
      <c r="C218" s="2">
        <v>19201801005</v>
      </c>
      <c r="D218" s="2">
        <v>2.88</v>
      </c>
      <c r="E218" s="226" t="s">
        <v>420</v>
      </c>
    </row>
    <row r="219" spans="1:5" x14ac:dyDescent="0.25">
      <c r="A219" s="2" t="s">
        <v>1158</v>
      </c>
      <c r="B219" s="546" t="s">
        <v>501</v>
      </c>
      <c r="C219" s="2">
        <v>19201800994</v>
      </c>
      <c r="D219" s="2">
        <v>2.87</v>
      </c>
      <c r="E219" s="226" t="s">
        <v>420</v>
      </c>
    </row>
    <row r="220" spans="1:5" x14ac:dyDescent="0.25">
      <c r="A220" s="2" t="s">
        <v>1158</v>
      </c>
      <c r="B220" s="546" t="s">
        <v>501</v>
      </c>
      <c r="C220" s="2">
        <v>19201801001</v>
      </c>
      <c r="D220" s="2">
        <v>2.86</v>
      </c>
      <c r="E220" s="226" t="s">
        <v>420</v>
      </c>
    </row>
    <row r="221" spans="1:5" x14ac:dyDescent="0.25">
      <c r="A221" s="2" t="s">
        <v>1158</v>
      </c>
      <c r="B221" s="546" t="s">
        <v>501</v>
      </c>
      <c r="C221" s="2">
        <v>19201800984</v>
      </c>
      <c r="D221" s="2">
        <v>2.83</v>
      </c>
      <c r="E221" s="226" t="s">
        <v>420</v>
      </c>
    </row>
    <row r="222" spans="1:5" x14ac:dyDescent="0.25">
      <c r="A222" s="376" t="s">
        <v>1172</v>
      </c>
      <c r="B222" s="546" t="s">
        <v>372</v>
      </c>
      <c r="C222" s="2">
        <v>19201900128</v>
      </c>
      <c r="D222" s="2">
        <v>4.18</v>
      </c>
      <c r="E222" s="379" t="s">
        <v>419</v>
      </c>
    </row>
    <row r="223" spans="1:5" x14ac:dyDescent="0.25">
      <c r="A223" s="376" t="s">
        <v>1172</v>
      </c>
      <c r="B223" s="546" t="s">
        <v>372</v>
      </c>
      <c r="C223" s="2">
        <v>19201900086</v>
      </c>
      <c r="D223" s="2">
        <v>3.95</v>
      </c>
      <c r="E223" s="379" t="s">
        <v>419</v>
      </c>
    </row>
    <row r="224" spans="1:5" x14ac:dyDescent="0.25">
      <c r="A224" s="376" t="s">
        <v>1172</v>
      </c>
      <c r="B224" s="546" t="s">
        <v>372</v>
      </c>
      <c r="C224" s="2">
        <v>19201900100</v>
      </c>
      <c r="D224" s="2">
        <v>3.92</v>
      </c>
      <c r="E224" s="379" t="s">
        <v>419</v>
      </c>
    </row>
    <row r="225" spans="1:5" x14ac:dyDescent="0.25">
      <c r="A225" s="376" t="s">
        <v>1172</v>
      </c>
      <c r="B225" s="546" t="s">
        <v>372</v>
      </c>
      <c r="C225" s="2">
        <v>19201900103</v>
      </c>
      <c r="D225" s="2">
        <v>3.84</v>
      </c>
      <c r="E225" s="379" t="s">
        <v>419</v>
      </c>
    </row>
    <row r="226" spans="1:5" x14ac:dyDescent="0.25">
      <c r="A226" s="376" t="s">
        <v>1172</v>
      </c>
      <c r="B226" s="546" t="s">
        <v>372</v>
      </c>
      <c r="C226" s="2">
        <v>19201900114</v>
      </c>
      <c r="D226" s="2">
        <v>3.76</v>
      </c>
      <c r="E226" s="379" t="s">
        <v>419</v>
      </c>
    </row>
    <row r="227" spans="1:5" x14ac:dyDescent="0.25">
      <c r="A227" s="376" t="s">
        <v>1172</v>
      </c>
      <c r="B227" s="546" t="s">
        <v>372</v>
      </c>
      <c r="C227" s="2">
        <v>19201900129</v>
      </c>
      <c r="D227" s="2">
        <v>3.72</v>
      </c>
      <c r="E227" s="379" t="s">
        <v>419</v>
      </c>
    </row>
    <row r="228" spans="1:5" x14ac:dyDescent="0.25">
      <c r="A228" s="376" t="s">
        <v>1172</v>
      </c>
      <c r="B228" s="546" t="s">
        <v>372</v>
      </c>
      <c r="C228" s="2">
        <v>19201900101</v>
      </c>
      <c r="D228" s="2">
        <v>3.71</v>
      </c>
      <c r="E228" s="379" t="s">
        <v>419</v>
      </c>
    </row>
    <row r="229" spans="1:5" x14ac:dyDescent="0.25">
      <c r="A229" s="376" t="s">
        <v>1172</v>
      </c>
      <c r="B229" s="546" t="s">
        <v>372</v>
      </c>
      <c r="C229" s="2">
        <v>19201900121</v>
      </c>
      <c r="D229" s="2">
        <v>3.66</v>
      </c>
      <c r="E229" s="379" t="s">
        <v>419</v>
      </c>
    </row>
    <row r="230" spans="1:5" x14ac:dyDescent="0.25">
      <c r="A230" s="376" t="s">
        <v>1172</v>
      </c>
      <c r="B230" s="546" t="s">
        <v>372</v>
      </c>
      <c r="C230" s="2">
        <v>19201900105</v>
      </c>
      <c r="D230" s="2">
        <v>3.65</v>
      </c>
      <c r="E230" s="379" t="s">
        <v>419</v>
      </c>
    </row>
    <row r="231" spans="1:5" x14ac:dyDescent="0.25">
      <c r="A231" s="376" t="s">
        <v>1172</v>
      </c>
      <c r="B231" s="546" t="s">
        <v>372</v>
      </c>
      <c r="C231" s="2">
        <v>19201900106</v>
      </c>
      <c r="D231" s="2">
        <v>3.62</v>
      </c>
      <c r="E231" s="379" t="s">
        <v>419</v>
      </c>
    </row>
    <row r="232" spans="1:5" x14ac:dyDescent="0.25">
      <c r="A232" s="376" t="s">
        <v>1172</v>
      </c>
      <c r="B232" s="546" t="s">
        <v>372</v>
      </c>
      <c r="C232" s="2">
        <v>19201900117</v>
      </c>
      <c r="D232" s="2">
        <v>3.56</v>
      </c>
      <c r="E232" s="379" t="s">
        <v>419</v>
      </c>
    </row>
    <row r="233" spans="1:5" x14ac:dyDescent="0.25">
      <c r="A233" s="376" t="s">
        <v>1172</v>
      </c>
      <c r="B233" s="546" t="s">
        <v>372</v>
      </c>
      <c r="C233" s="2">
        <v>19201900115</v>
      </c>
      <c r="D233" s="2">
        <v>3.53</v>
      </c>
      <c r="E233" s="379" t="s">
        <v>419</v>
      </c>
    </row>
    <row r="234" spans="1:5" x14ac:dyDescent="0.25">
      <c r="A234" s="376" t="s">
        <v>1172</v>
      </c>
      <c r="B234" s="546" t="s">
        <v>372</v>
      </c>
      <c r="C234" s="2">
        <v>19201900102</v>
      </c>
      <c r="D234" s="2">
        <v>3.5</v>
      </c>
      <c r="E234" s="379" t="s">
        <v>419</v>
      </c>
    </row>
    <row r="235" spans="1:5" x14ac:dyDescent="0.25">
      <c r="A235" s="376" t="s">
        <v>1172</v>
      </c>
      <c r="B235" s="546" t="s">
        <v>372</v>
      </c>
      <c r="C235" s="2">
        <v>19201900109</v>
      </c>
      <c r="D235" s="2">
        <v>3.44</v>
      </c>
      <c r="E235" s="379" t="s">
        <v>419</v>
      </c>
    </row>
    <row r="236" spans="1:5" x14ac:dyDescent="0.25">
      <c r="A236" s="376" t="s">
        <v>1172</v>
      </c>
      <c r="B236" s="546" t="s">
        <v>372</v>
      </c>
      <c r="C236" s="2">
        <v>19201900124</v>
      </c>
      <c r="D236" s="2">
        <v>3.42</v>
      </c>
      <c r="E236" s="379" t="s">
        <v>419</v>
      </c>
    </row>
    <row r="237" spans="1:5" x14ac:dyDescent="0.25">
      <c r="A237" s="376" t="s">
        <v>1172</v>
      </c>
      <c r="B237" s="546" t="s">
        <v>372</v>
      </c>
      <c r="C237" s="2">
        <v>19201900118</v>
      </c>
      <c r="D237" s="2">
        <v>3.38</v>
      </c>
      <c r="E237" s="226" t="s">
        <v>420</v>
      </c>
    </row>
    <row r="238" spans="1:5" x14ac:dyDescent="0.25">
      <c r="A238" s="376" t="s">
        <v>1172</v>
      </c>
      <c r="B238" s="546" t="s">
        <v>372</v>
      </c>
      <c r="C238" s="2">
        <v>19201900123</v>
      </c>
      <c r="D238" s="2">
        <v>3.37</v>
      </c>
      <c r="E238" s="226" t="s">
        <v>420</v>
      </c>
    </row>
    <row r="239" spans="1:5" x14ac:dyDescent="0.25">
      <c r="A239" s="376" t="s">
        <v>1172</v>
      </c>
      <c r="B239" s="546" t="s">
        <v>372</v>
      </c>
      <c r="C239" s="2">
        <v>19201900125</v>
      </c>
      <c r="D239" s="2">
        <v>3.35</v>
      </c>
      <c r="E239" s="226" t="s">
        <v>420</v>
      </c>
    </row>
    <row r="240" spans="1:5" x14ac:dyDescent="0.25">
      <c r="A240" s="376" t="s">
        <v>1172</v>
      </c>
      <c r="B240" s="546" t="s">
        <v>372</v>
      </c>
      <c r="C240" s="2">
        <v>19201900108</v>
      </c>
      <c r="D240" s="2">
        <v>3.33</v>
      </c>
      <c r="E240" s="226" t="s">
        <v>420</v>
      </c>
    </row>
    <row r="241" spans="1:7" x14ac:dyDescent="0.25">
      <c r="A241" s="376" t="s">
        <v>1172</v>
      </c>
      <c r="B241" s="546" t="s">
        <v>372</v>
      </c>
      <c r="C241" s="2">
        <v>19201900099</v>
      </c>
      <c r="D241" s="2">
        <v>3.28</v>
      </c>
      <c r="E241" s="226" t="s">
        <v>420</v>
      </c>
    </row>
    <row r="242" spans="1:7" x14ac:dyDescent="0.25">
      <c r="A242" s="376" t="s">
        <v>1172</v>
      </c>
      <c r="B242" s="546" t="s">
        <v>372</v>
      </c>
      <c r="C242" s="2">
        <v>19201900113</v>
      </c>
      <c r="D242" s="2">
        <v>3.26</v>
      </c>
      <c r="E242" s="226" t="s">
        <v>420</v>
      </c>
    </row>
    <row r="243" spans="1:7" x14ac:dyDescent="0.25">
      <c r="A243" s="376" t="s">
        <v>1172</v>
      </c>
      <c r="B243" s="546" t="s">
        <v>372</v>
      </c>
      <c r="C243" s="2">
        <v>19201900104</v>
      </c>
      <c r="D243" s="2">
        <v>3.24</v>
      </c>
      <c r="E243" s="226" t="s">
        <v>420</v>
      </c>
    </row>
    <row r="244" spans="1:7" x14ac:dyDescent="0.25">
      <c r="A244" s="376" t="s">
        <v>1172</v>
      </c>
      <c r="B244" s="546" t="s">
        <v>372</v>
      </c>
      <c r="C244" s="2">
        <v>19201900088</v>
      </c>
      <c r="D244" s="2">
        <v>3.2</v>
      </c>
      <c r="E244" s="226" t="s">
        <v>420</v>
      </c>
    </row>
    <row r="245" spans="1:7" x14ac:dyDescent="0.25">
      <c r="A245" s="376" t="s">
        <v>1172</v>
      </c>
      <c r="B245" s="546" t="s">
        <v>372</v>
      </c>
      <c r="C245" s="2">
        <v>19201900089</v>
      </c>
      <c r="D245" s="2">
        <v>3.2</v>
      </c>
      <c r="E245" s="226" t="s">
        <v>420</v>
      </c>
    </row>
    <row r="246" spans="1:7" x14ac:dyDescent="0.25">
      <c r="A246" s="376" t="s">
        <v>1172</v>
      </c>
      <c r="B246" s="546" t="s">
        <v>372</v>
      </c>
      <c r="C246" s="2">
        <v>19201900127</v>
      </c>
      <c r="D246" s="2">
        <v>3.2</v>
      </c>
      <c r="E246" s="226" t="s">
        <v>420</v>
      </c>
    </row>
    <row r="247" spans="1:7" x14ac:dyDescent="0.25">
      <c r="A247" s="376" t="s">
        <v>1172</v>
      </c>
      <c r="B247" s="546" t="s">
        <v>372</v>
      </c>
      <c r="C247" s="2">
        <v>19201900111</v>
      </c>
      <c r="D247" s="2">
        <v>3.15</v>
      </c>
      <c r="E247" s="226" t="s">
        <v>420</v>
      </c>
    </row>
    <row r="248" spans="1:7" x14ac:dyDescent="0.25">
      <c r="A248" s="376" t="s">
        <v>1172</v>
      </c>
      <c r="B248" s="546" t="s">
        <v>372</v>
      </c>
      <c r="C248" s="2">
        <v>19201900120</v>
      </c>
      <c r="D248" s="2">
        <v>3.07</v>
      </c>
      <c r="E248" s="226" t="s">
        <v>420</v>
      </c>
    </row>
    <row r="249" spans="1:7" x14ac:dyDescent="0.25">
      <c r="A249" s="376" t="s">
        <v>1172</v>
      </c>
      <c r="B249" s="546" t="s">
        <v>372</v>
      </c>
      <c r="C249" s="2">
        <v>19201900116</v>
      </c>
      <c r="D249" s="2">
        <v>3.02</v>
      </c>
      <c r="E249" s="226" t="s">
        <v>420</v>
      </c>
    </row>
    <row r="250" spans="1:7" x14ac:dyDescent="0.25">
      <c r="A250" s="376" t="s">
        <v>1172</v>
      </c>
      <c r="B250" s="546" t="s">
        <v>372</v>
      </c>
      <c r="C250" s="2">
        <v>19201900107</v>
      </c>
      <c r="D250" s="2">
        <v>3</v>
      </c>
      <c r="E250" s="226" t="s">
        <v>420</v>
      </c>
    </row>
    <row r="251" spans="1:7" x14ac:dyDescent="0.25">
      <c r="A251" s="376" t="s">
        <v>1172</v>
      </c>
      <c r="B251" s="546" t="s">
        <v>372</v>
      </c>
      <c r="C251" s="2">
        <v>19201900112</v>
      </c>
      <c r="D251" s="2">
        <v>2.98</v>
      </c>
      <c r="E251" s="226" t="s">
        <v>420</v>
      </c>
    </row>
    <row r="252" spans="1:7" x14ac:dyDescent="0.25">
      <c r="A252" s="376" t="s">
        <v>1172</v>
      </c>
      <c r="B252" s="546" t="s">
        <v>372</v>
      </c>
      <c r="C252" s="2">
        <v>19201900126</v>
      </c>
      <c r="D252" s="2">
        <v>2.96</v>
      </c>
      <c r="E252" s="226" t="s">
        <v>420</v>
      </c>
    </row>
    <row r="253" spans="1:7" x14ac:dyDescent="0.25">
      <c r="A253" s="376" t="s">
        <v>1172</v>
      </c>
      <c r="B253" s="546" t="s">
        <v>372</v>
      </c>
      <c r="C253" s="2">
        <v>19201900122</v>
      </c>
      <c r="D253" s="2">
        <v>2.5499999999999998</v>
      </c>
      <c r="E253" s="226" t="s">
        <v>420</v>
      </c>
    </row>
    <row r="254" spans="1:7" x14ac:dyDescent="0.25">
      <c r="A254" s="376" t="s">
        <v>1172</v>
      </c>
      <c r="B254" s="546" t="s">
        <v>372</v>
      </c>
      <c r="C254" s="2">
        <v>19201900119</v>
      </c>
      <c r="D254" s="2">
        <v>0</v>
      </c>
      <c r="E254" s="226" t="s">
        <v>420</v>
      </c>
    </row>
    <row r="255" spans="1:7" x14ac:dyDescent="0.25">
      <c r="A255" s="2" t="s">
        <v>1212</v>
      </c>
      <c r="B255" s="546" t="s">
        <v>501</v>
      </c>
      <c r="C255" s="2">
        <v>19201900892</v>
      </c>
      <c r="D255" s="2">
        <v>4.1500000000000004</v>
      </c>
      <c r="E255" s="379" t="s">
        <v>419</v>
      </c>
      <c r="F255" s="647"/>
      <c r="G255" s="647"/>
    </row>
    <row r="256" spans="1:7" x14ac:dyDescent="0.25">
      <c r="A256" s="2" t="s">
        <v>1212</v>
      </c>
      <c r="B256" s="546" t="s">
        <v>501</v>
      </c>
      <c r="C256" s="2">
        <v>19201900880</v>
      </c>
      <c r="D256" s="2">
        <v>4.08</v>
      </c>
      <c r="E256" s="379" t="s">
        <v>419</v>
      </c>
      <c r="F256" s="647"/>
      <c r="G256" s="647"/>
    </row>
    <row r="257" spans="1:7" x14ac:dyDescent="0.25">
      <c r="A257" s="2" t="s">
        <v>1212</v>
      </c>
      <c r="B257" s="546" t="s">
        <v>501</v>
      </c>
      <c r="C257" s="2">
        <v>19201900896</v>
      </c>
      <c r="D257" s="2">
        <v>3.98</v>
      </c>
      <c r="E257" s="379" t="s">
        <v>419</v>
      </c>
      <c r="F257" s="647"/>
      <c r="G257" s="647"/>
    </row>
    <row r="258" spans="1:7" x14ac:dyDescent="0.25">
      <c r="A258" s="2" t="s">
        <v>1212</v>
      </c>
      <c r="B258" s="546" t="s">
        <v>501</v>
      </c>
      <c r="C258" s="2">
        <v>19201900891</v>
      </c>
      <c r="D258" s="2">
        <v>3.96</v>
      </c>
      <c r="E258" s="379" t="s">
        <v>419</v>
      </c>
      <c r="F258" s="647"/>
      <c r="G258" s="647"/>
    </row>
    <row r="259" spans="1:7" x14ac:dyDescent="0.25">
      <c r="A259" s="2" t="s">
        <v>1212</v>
      </c>
      <c r="B259" s="546" t="s">
        <v>501</v>
      </c>
      <c r="C259" s="2">
        <v>19201900886</v>
      </c>
      <c r="D259" s="2">
        <v>3.9</v>
      </c>
      <c r="E259" s="379" t="s">
        <v>419</v>
      </c>
      <c r="F259" s="647"/>
      <c r="G259" s="647"/>
    </row>
    <row r="260" spans="1:7" x14ac:dyDescent="0.25">
      <c r="A260" s="2" t="s">
        <v>1212</v>
      </c>
      <c r="B260" s="546" t="s">
        <v>501</v>
      </c>
      <c r="C260" s="2">
        <v>19201900897</v>
      </c>
      <c r="D260" s="2">
        <v>3.89</v>
      </c>
      <c r="E260" s="379" t="s">
        <v>419</v>
      </c>
      <c r="F260" s="647"/>
      <c r="G260" s="647"/>
    </row>
    <row r="261" spans="1:7" x14ac:dyDescent="0.25">
      <c r="A261" s="2" t="s">
        <v>1212</v>
      </c>
      <c r="B261" s="546" t="s">
        <v>501</v>
      </c>
      <c r="C261" s="2">
        <v>19201900895</v>
      </c>
      <c r="D261" s="2">
        <v>3.88</v>
      </c>
      <c r="E261" s="379" t="s">
        <v>419</v>
      </c>
      <c r="F261" s="647"/>
      <c r="G261" s="647"/>
    </row>
    <row r="262" spans="1:7" x14ac:dyDescent="0.25">
      <c r="A262" s="2" t="s">
        <v>1212</v>
      </c>
      <c r="B262" s="546" t="s">
        <v>501</v>
      </c>
      <c r="C262" s="2">
        <v>19201900811</v>
      </c>
      <c r="D262" s="2">
        <v>3.78</v>
      </c>
      <c r="E262" s="226" t="s">
        <v>420</v>
      </c>
      <c r="F262" s="647"/>
      <c r="G262" s="647"/>
    </row>
    <row r="263" spans="1:7" x14ac:dyDescent="0.25">
      <c r="A263" s="2" t="s">
        <v>1212</v>
      </c>
      <c r="B263" s="546" t="s">
        <v>501</v>
      </c>
      <c r="C263" s="2">
        <v>19201900881</v>
      </c>
      <c r="D263" s="2">
        <v>3.74</v>
      </c>
      <c r="E263" s="226" t="s">
        <v>420</v>
      </c>
      <c r="F263" s="647"/>
      <c r="G263" s="647"/>
    </row>
    <row r="264" spans="1:7" x14ac:dyDescent="0.25">
      <c r="A264" s="2" t="s">
        <v>1212</v>
      </c>
      <c r="B264" s="546" t="s">
        <v>501</v>
      </c>
      <c r="C264" s="2">
        <v>19201900887</v>
      </c>
      <c r="D264" s="2">
        <v>3.73</v>
      </c>
      <c r="E264" s="226" t="s">
        <v>420</v>
      </c>
      <c r="F264" s="647"/>
      <c r="G264" s="647"/>
    </row>
    <row r="265" spans="1:7" x14ac:dyDescent="0.25">
      <c r="A265" s="2" t="s">
        <v>1212</v>
      </c>
      <c r="B265" s="546" t="s">
        <v>501</v>
      </c>
      <c r="C265" s="2">
        <v>19201900885</v>
      </c>
      <c r="D265" s="2">
        <v>3.62</v>
      </c>
      <c r="E265" s="226" t="s">
        <v>420</v>
      </c>
      <c r="F265" s="647"/>
      <c r="G265" s="647"/>
    </row>
    <row r="266" spans="1:7" x14ac:dyDescent="0.25">
      <c r="A266" s="2" t="s">
        <v>1212</v>
      </c>
      <c r="B266" s="546" t="s">
        <v>501</v>
      </c>
      <c r="C266" s="2">
        <v>19201900893</v>
      </c>
      <c r="D266" s="2">
        <v>3.62</v>
      </c>
      <c r="E266" s="226" t="s">
        <v>420</v>
      </c>
      <c r="F266" s="647"/>
      <c r="G266" s="647"/>
    </row>
    <row r="267" spans="1:7" x14ac:dyDescent="0.25">
      <c r="A267" s="2" t="s">
        <v>1212</v>
      </c>
      <c r="B267" s="546" t="s">
        <v>501</v>
      </c>
      <c r="C267" s="2">
        <v>19201900846</v>
      </c>
      <c r="D267" s="2">
        <v>3.59</v>
      </c>
      <c r="E267" s="226" t="s">
        <v>420</v>
      </c>
      <c r="F267" s="647"/>
      <c r="G267" s="647"/>
    </row>
    <row r="268" spans="1:7" x14ac:dyDescent="0.25">
      <c r="A268" s="2" t="s">
        <v>1212</v>
      </c>
      <c r="B268" s="546" t="s">
        <v>501</v>
      </c>
      <c r="C268" s="2">
        <v>19201900847</v>
      </c>
      <c r="D268" s="2">
        <v>3.59</v>
      </c>
      <c r="E268" s="226" t="s">
        <v>420</v>
      </c>
      <c r="F268" s="647"/>
      <c r="G268" s="647"/>
    </row>
    <row r="269" spans="1:7" x14ac:dyDescent="0.25">
      <c r="A269" s="2" t="s">
        <v>1212</v>
      </c>
      <c r="B269" s="546" t="s">
        <v>501</v>
      </c>
      <c r="C269" s="2">
        <v>19201900810</v>
      </c>
      <c r="D269" s="2">
        <v>3.48</v>
      </c>
      <c r="E269" s="226" t="s">
        <v>420</v>
      </c>
      <c r="F269" s="647"/>
      <c r="G269" s="647"/>
    </row>
    <row r="270" spans="1:7" x14ac:dyDescent="0.25">
      <c r="A270" s="2" t="s">
        <v>1212</v>
      </c>
      <c r="B270" s="546" t="s">
        <v>501</v>
      </c>
      <c r="C270" s="2">
        <v>19201900884</v>
      </c>
      <c r="D270" s="2">
        <v>3.43</v>
      </c>
      <c r="E270" s="226" t="s">
        <v>420</v>
      </c>
      <c r="F270" s="647"/>
      <c r="G270" s="647"/>
    </row>
    <row r="271" spans="1:7" x14ac:dyDescent="0.25">
      <c r="A271" s="2" t="s">
        <v>1212</v>
      </c>
      <c r="B271" s="546" t="s">
        <v>501</v>
      </c>
      <c r="C271" s="2">
        <v>19201900888</v>
      </c>
      <c r="D271" s="2">
        <v>3.41</v>
      </c>
      <c r="E271" s="226" t="s">
        <v>420</v>
      </c>
      <c r="F271" s="647"/>
      <c r="G271" s="647"/>
    </row>
    <row r="272" spans="1:7" x14ac:dyDescent="0.25">
      <c r="A272" s="2" t="s">
        <v>1212</v>
      </c>
      <c r="B272" s="546" t="s">
        <v>501</v>
      </c>
      <c r="C272" s="2">
        <v>19201900879</v>
      </c>
      <c r="D272" s="2">
        <v>3.36</v>
      </c>
      <c r="E272" s="226" t="s">
        <v>420</v>
      </c>
      <c r="F272" s="647"/>
      <c r="G272" s="647"/>
    </row>
    <row r="273" spans="1:7" x14ac:dyDescent="0.25">
      <c r="A273" s="2" t="s">
        <v>1212</v>
      </c>
      <c r="B273" s="546" t="s">
        <v>501</v>
      </c>
      <c r="C273" s="2">
        <v>19201900878</v>
      </c>
      <c r="D273" s="2">
        <v>3.23</v>
      </c>
      <c r="E273" s="226" t="s">
        <v>420</v>
      </c>
      <c r="F273" s="647"/>
      <c r="G273" s="647"/>
    </row>
    <row r="274" spans="1:7" x14ac:dyDescent="0.25">
      <c r="A274" s="2" t="s">
        <v>1212</v>
      </c>
      <c r="B274" s="546" t="s">
        <v>501</v>
      </c>
      <c r="C274" s="2">
        <v>19201900875</v>
      </c>
      <c r="D274" s="2">
        <v>3.16</v>
      </c>
      <c r="E274" s="226" t="s">
        <v>420</v>
      </c>
      <c r="F274" s="647"/>
      <c r="G274" s="647"/>
    </row>
    <row r="275" spans="1:7" x14ac:dyDescent="0.25">
      <c r="A275" s="2" t="s">
        <v>1212</v>
      </c>
      <c r="B275" s="546" t="s">
        <v>501</v>
      </c>
      <c r="C275" s="2">
        <v>19201900877</v>
      </c>
      <c r="D275" s="2">
        <v>3.1</v>
      </c>
      <c r="E275" s="226" t="s">
        <v>420</v>
      </c>
      <c r="F275" s="647"/>
      <c r="G275" s="647"/>
    </row>
    <row r="276" spans="1:7" x14ac:dyDescent="0.25">
      <c r="A276" s="2" t="s">
        <v>1212</v>
      </c>
      <c r="B276" s="546" t="s">
        <v>501</v>
      </c>
      <c r="C276" s="2">
        <v>19201900890</v>
      </c>
      <c r="D276" s="2">
        <v>3.03</v>
      </c>
      <c r="E276" s="226" t="s">
        <v>420</v>
      </c>
      <c r="F276" s="647"/>
      <c r="G276" s="647"/>
    </row>
    <row r="277" spans="1:7" x14ac:dyDescent="0.25">
      <c r="A277" s="2" t="s">
        <v>1212</v>
      </c>
      <c r="B277" s="546" t="s">
        <v>501</v>
      </c>
      <c r="C277" s="2">
        <v>19201900894</v>
      </c>
      <c r="D277" s="2">
        <v>3.03</v>
      </c>
      <c r="E277" s="226" t="s">
        <v>420</v>
      </c>
      <c r="F277" s="647"/>
      <c r="G277" s="647"/>
    </row>
    <row r="278" spans="1:7" x14ac:dyDescent="0.25">
      <c r="A278" s="2" t="s">
        <v>1212</v>
      </c>
      <c r="B278" s="546" t="s">
        <v>501</v>
      </c>
      <c r="C278" s="2">
        <v>19201900882</v>
      </c>
      <c r="D278" s="2">
        <v>3.01</v>
      </c>
      <c r="E278" s="226" t="s">
        <v>420</v>
      </c>
      <c r="F278" s="647"/>
      <c r="G278" s="647"/>
    </row>
    <row r="279" spans="1:7" x14ac:dyDescent="0.25">
      <c r="A279" s="2" t="s">
        <v>1212</v>
      </c>
      <c r="B279" s="546" t="s">
        <v>501</v>
      </c>
      <c r="C279" s="2">
        <v>19201900883</v>
      </c>
      <c r="D279" s="2">
        <v>0</v>
      </c>
      <c r="E279" s="226" t="s">
        <v>420</v>
      </c>
      <c r="F279" s="647"/>
      <c r="G279" s="647"/>
    </row>
    <row r="280" spans="1:7" x14ac:dyDescent="0.25">
      <c r="A280" s="26" t="s">
        <v>1258</v>
      </c>
      <c r="B280" s="546" t="s">
        <v>501</v>
      </c>
      <c r="C280" s="2">
        <v>19202000579</v>
      </c>
      <c r="D280" s="2">
        <v>3.68</v>
      </c>
      <c r="E280" s="379" t="s">
        <v>419</v>
      </c>
    </row>
    <row r="281" spans="1:7" x14ac:dyDescent="0.25">
      <c r="A281" s="26" t="s">
        <v>1258</v>
      </c>
      <c r="B281" s="546" t="s">
        <v>501</v>
      </c>
      <c r="C281" s="2">
        <v>19202000567</v>
      </c>
      <c r="D281" s="2">
        <v>3.67</v>
      </c>
      <c r="E281" s="379" t="s">
        <v>419</v>
      </c>
    </row>
    <row r="282" spans="1:7" x14ac:dyDescent="0.25">
      <c r="A282" s="26" t="s">
        <v>1258</v>
      </c>
      <c r="B282" s="546" t="s">
        <v>501</v>
      </c>
      <c r="C282" s="2">
        <v>19202000574</v>
      </c>
      <c r="D282" s="2">
        <v>3.57</v>
      </c>
      <c r="E282" s="379" t="s">
        <v>419</v>
      </c>
    </row>
    <row r="283" spans="1:7" x14ac:dyDescent="0.25">
      <c r="A283" s="26" t="s">
        <v>1258</v>
      </c>
      <c r="B283" s="546" t="s">
        <v>501</v>
      </c>
      <c r="C283" s="2">
        <v>19202000586</v>
      </c>
      <c r="D283" s="2">
        <v>3.54</v>
      </c>
      <c r="E283" s="379" t="s">
        <v>419</v>
      </c>
    </row>
    <row r="284" spans="1:7" x14ac:dyDescent="0.25">
      <c r="A284" s="26" t="s">
        <v>1258</v>
      </c>
      <c r="B284" s="546" t="s">
        <v>501</v>
      </c>
      <c r="C284" s="2">
        <v>19202000598</v>
      </c>
      <c r="D284" s="2">
        <v>3.53</v>
      </c>
      <c r="E284" s="379" t="s">
        <v>419</v>
      </c>
    </row>
    <row r="285" spans="1:7" x14ac:dyDescent="0.25">
      <c r="A285" s="26" t="s">
        <v>1258</v>
      </c>
      <c r="B285" s="546" t="s">
        <v>501</v>
      </c>
      <c r="C285" s="2">
        <v>19202000571</v>
      </c>
      <c r="D285" s="2">
        <v>3.38</v>
      </c>
      <c r="E285" s="379" t="s">
        <v>419</v>
      </c>
    </row>
    <row r="286" spans="1:7" x14ac:dyDescent="0.25">
      <c r="A286" s="26" t="s">
        <v>1258</v>
      </c>
      <c r="B286" s="546" t="s">
        <v>501</v>
      </c>
      <c r="C286" s="2">
        <v>19202000581</v>
      </c>
      <c r="D286" s="2">
        <v>3.36</v>
      </c>
      <c r="E286" s="379" t="s">
        <v>419</v>
      </c>
    </row>
    <row r="287" spans="1:7" x14ac:dyDescent="0.25">
      <c r="A287" s="26" t="s">
        <v>1258</v>
      </c>
      <c r="B287" s="546" t="s">
        <v>501</v>
      </c>
      <c r="C287" s="2">
        <v>19202000572</v>
      </c>
      <c r="D287" s="2">
        <v>3.35</v>
      </c>
      <c r="E287" s="379" t="s">
        <v>419</v>
      </c>
    </row>
    <row r="288" spans="1:7" x14ac:dyDescent="0.25">
      <c r="A288" s="26" t="s">
        <v>1258</v>
      </c>
      <c r="B288" s="546" t="s">
        <v>501</v>
      </c>
      <c r="C288" s="2">
        <v>19202000584</v>
      </c>
      <c r="D288" s="2">
        <v>3.35</v>
      </c>
      <c r="E288" s="379" t="s">
        <v>419</v>
      </c>
    </row>
    <row r="289" spans="1:5" x14ac:dyDescent="0.25">
      <c r="A289" s="26" t="s">
        <v>1258</v>
      </c>
      <c r="B289" s="546" t="s">
        <v>501</v>
      </c>
      <c r="C289" s="2">
        <v>19202000592</v>
      </c>
      <c r="D289" s="2">
        <v>3.35</v>
      </c>
      <c r="E289" s="379" t="s">
        <v>419</v>
      </c>
    </row>
    <row r="290" spans="1:5" x14ac:dyDescent="0.25">
      <c r="A290" s="26" t="s">
        <v>1258</v>
      </c>
      <c r="B290" s="546" t="s">
        <v>501</v>
      </c>
      <c r="C290" s="2">
        <v>19202000580</v>
      </c>
      <c r="D290" s="2">
        <v>3.34</v>
      </c>
      <c r="E290" s="379" t="s">
        <v>419</v>
      </c>
    </row>
    <row r="291" spans="1:5" x14ac:dyDescent="0.25">
      <c r="A291" s="26" t="s">
        <v>1258</v>
      </c>
      <c r="B291" s="546" t="s">
        <v>501</v>
      </c>
      <c r="C291" s="2">
        <v>19202000599</v>
      </c>
      <c r="D291" s="2">
        <v>3.33</v>
      </c>
      <c r="E291" s="379" t="s">
        <v>419</v>
      </c>
    </row>
    <row r="292" spans="1:5" x14ac:dyDescent="0.25">
      <c r="A292" s="26" t="s">
        <v>1258</v>
      </c>
      <c r="B292" s="546" t="s">
        <v>501</v>
      </c>
      <c r="C292" s="2">
        <v>19202000575</v>
      </c>
      <c r="D292" s="2">
        <v>3.32</v>
      </c>
      <c r="E292" s="379" t="s">
        <v>419</v>
      </c>
    </row>
    <row r="293" spans="1:5" x14ac:dyDescent="0.25">
      <c r="A293" s="26" t="s">
        <v>1258</v>
      </c>
      <c r="B293" s="546" t="s">
        <v>501</v>
      </c>
      <c r="C293" s="2">
        <v>19202000573</v>
      </c>
      <c r="D293" s="2">
        <v>3.3</v>
      </c>
      <c r="E293" s="379" t="s">
        <v>419</v>
      </c>
    </row>
    <row r="294" spans="1:5" x14ac:dyDescent="0.25">
      <c r="A294" s="26" t="s">
        <v>1258</v>
      </c>
      <c r="B294" s="546" t="s">
        <v>501</v>
      </c>
      <c r="C294" s="2">
        <v>19202000594</v>
      </c>
      <c r="D294" s="2">
        <v>3.3</v>
      </c>
      <c r="E294" s="379" t="s">
        <v>419</v>
      </c>
    </row>
    <row r="295" spans="1:5" x14ac:dyDescent="0.25">
      <c r="A295" s="26" t="s">
        <v>1258</v>
      </c>
      <c r="B295" s="546" t="s">
        <v>501</v>
      </c>
      <c r="C295" s="2">
        <v>19202000585</v>
      </c>
      <c r="D295" s="2">
        <v>3.28</v>
      </c>
      <c r="E295" s="379" t="s">
        <v>419</v>
      </c>
    </row>
    <row r="296" spans="1:5" x14ac:dyDescent="0.25">
      <c r="A296" s="26" t="s">
        <v>1258</v>
      </c>
      <c r="B296" s="546" t="s">
        <v>501</v>
      </c>
      <c r="C296" s="2">
        <v>19202000588</v>
      </c>
      <c r="D296" s="2">
        <v>3.07</v>
      </c>
      <c r="E296" s="379" t="s">
        <v>419</v>
      </c>
    </row>
    <row r="297" spans="1:5" x14ac:dyDescent="0.25">
      <c r="A297" s="26" t="s">
        <v>1258</v>
      </c>
      <c r="B297" s="546" t="s">
        <v>501</v>
      </c>
      <c r="C297" s="2">
        <v>19202000570</v>
      </c>
      <c r="D297" s="2">
        <v>3.04</v>
      </c>
      <c r="E297" s="379" t="s">
        <v>419</v>
      </c>
    </row>
    <row r="298" spans="1:5" x14ac:dyDescent="0.25">
      <c r="A298" s="26" t="s">
        <v>1258</v>
      </c>
      <c r="B298" s="546" t="s">
        <v>372</v>
      </c>
      <c r="C298" s="2">
        <v>19202000582</v>
      </c>
      <c r="D298" s="2">
        <v>3.81</v>
      </c>
      <c r="E298" s="379" t="s">
        <v>419</v>
      </c>
    </row>
    <row r="299" spans="1:5" x14ac:dyDescent="0.25">
      <c r="A299" s="26" t="s">
        <v>1258</v>
      </c>
      <c r="B299" s="546" t="s">
        <v>372</v>
      </c>
      <c r="C299" s="2">
        <v>19202000589</v>
      </c>
      <c r="D299" s="2">
        <v>3.73</v>
      </c>
      <c r="E299" s="379" t="s">
        <v>419</v>
      </c>
    </row>
    <row r="300" spans="1:5" x14ac:dyDescent="0.25">
      <c r="A300" s="26" t="s">
        <v>1258</v>
      </c>
      <c r="B300" s="546" t="s">
        <v>372</v>
      </c>
      <c r="C300" s="2">
        <v>19202000583</v>
      </c>
      <c r="D300" s="2">
        <v>3.63</v>
      </c>
      <c r="E300" s="379" t="s">
        <v>419</v>
      </c>
    </row>
    <row r="301" spans="1:5" x14ac:dyDescent="0.25">
      <c r="A301" s="26" t="s">
        <v>1258</v>
      </c>
      <c r="B301" s="546" t="s">
        <v>372</v>
      </c>
      <c r="C301" s="2">
        <v>19202000577</v>
      </c>
      <c r="D301" s="2">
        <v>3.56</v>
      </c>
      <c r="E301" s="379" t="s">
        <v>419</v>
      </c>
    </row>
    <row r="302" spans="1:5" x14ac:dyDescent="0.25">
      <c r="A302" s="26" t="s">
        <v>1258</v>
      </c>
      <c r="B302" s="546" t="s">
        <v>372</v>
      </c>
      <c r="C302" s="2">
        <v>19202000569</v>
      </c>
      <c r="D302" s="2">
        <v>3.48</v>
      </c>
      <c r="E302" s="379" t="s">
        <v>419</v>
      </c>
    </row>
    <row r="303" spans="1:5" x14ac:dyDescent="0.25">
      <c r="A303" s="26" t="s">
        <v>1258</v>
      </c>
      <c r="B303" s="546" t="s">
        <v>372</v>
      </c>
      <c r="C303" s="2">
        <v>19202000568</v>
      </c>
      <c r="D303" s="2">
        <v>3.44</v>
      </c>
      <c r="E303" s="379" t="s">
        <v>419</v>
      </c>
    </row>
    <row r="304" spans="1:5" x14ac:dyDescent="0.25">
      <c r="A304" s="26" t="s">
        <v>1258</v>
      </c>
      <c r="B304" s="546" t="s">
        <v>372</v>
      </c>
      <c r="C304" s="2">
        <v>19202000587</v>
      </c>
      <c r="D304" s="2">
        <v>3.4</v>
      </c>
      <c r="E304" s="379" t="s">
        <v>419</v>
      </c>
    </row>
    <row r="305" spans="1:5" x14ac:dyDescent="0.25">
      <c r="A305" s="26" t="s">
        <v>1258</v>
      </c>
      <c r="B305" s="546" t="s">
        <v>372</v>
      </c>
      <c r="C305" s="2">
        <v>19202000578</v>
      </c>
      <c r="D305" s="2">
        <v>3.38</v>
      </c>
      <c r="E305" s="379" t="s">
        <v>419</v>
      </c>
    </row>
    <row r="306" spans="1:5" x14ac:dyDescent="0.25">
      <c r="A306" s="26" t="s">
        <v>1258</v>
      </c>
      <c r="B306" s="546" t="s">
        <v>372</v>
      </c>
      <c r="C306" s="2">
        <v>19202000596</v>
      </c>
      <c r="D306" s="2">
        <v>3.35</v>
      </c>
      <c r="E306" s="379" t="s">
        <v>419</v>
      </c>
    </row>
    <row r="307" spans="1:5" x14ac:dyDescent="0.25">
      <c r="A307" s="26" t="s">
        <v>1258</v>
      </c>
      <c r="B307" s="546" t="s">
        <v>372</v>
      </c>
      <c r="C307" s="2">
        <v>19202000591</v>
      </c>
      <c r="D307" s="2">
        <v>3.31</v>
      </c>
      <c r="E307" s="379" t="s">
        <v>419</v>
      </c>
    </row>
    <row r="308" spans="1:5" x14ac:dyDescent="0.25">
      <c r="A308" s="26" t="s">
        <v>1258</v>
      </c>
      <c r="B308" s="546" t="s">
        <v>372</v>
      </c>
      <c r="C308" s="2">
        <v>19202000590</v>
      </c>
      <c r="D308" s="2">
        <v>3.26</v>
      </c>
      <c r="E308" s="379" t="s">
        <v>419</v>
      </c>
    </row>
    <row r="309" spans="1:5" x14ac:dyDescent="0.25">
      <c r="A309" s="26" t="s">
        <v>1258</v>
      </c>
      <c r="B309" s="546" t="s">
        <v>372</v>
      </c>
      <c r="C309" s="2">
        <v>19202000595</v>
      </c>
      <c r="D309" s="2">
        <v>3.18</v>
      </c>
      <c r="E309" s="379" t="s">
        <v>419</v>
      </c>
    </row>
    <row r="310" spans="1:5" x14ac:dyDescent="0.25">
      <c r="A310" s="26" t="s">
        <v>1258</v>
      </c>
      <c r="B310" s="546" t="s">
        <v>372</v>
      </c>
      <c r="C310" s="2">
        <v>19202000597</v>
      </c>
      <c r="D310" s="2">
        <v>3.1</v>
      </c>
      <c r="E310" s="379" t="s">
        <v>419</v>
      </c>
    </row>
    <row r="311" spans="1:5" x14ac:dyDescent="0.25">
      <c r="A311" s="26" t="s">
        <v>1258</v>
      </c>
      <c r="B311" s="546" t="s">
        <v>372</v>
      </c>
      <c r="C311" s="2">
        <v>19202000593</v>
      </c>
      <c r="D311" s="2">
        <v>3.04</v>
      </c>
      <c r="E311" s="379" t="s">
        <v>419</v>
      </c>
    </row>
    <row r="312" spans="1:5" x14ac:dyDescent="0.25">
      <c r="A312" s="26" t="s">
        <v>1258</v>
      </c>
      <c r="B312" s="546" t="s">
        <v>372</v>
      </c>
      <c r="C312" s="2">
        <v>19202000576</v>
      </c>
      <c r="D312" s="2">
        <v>0</v>
      </c>
      <c r="E312" s="226" t="s">
        <v>420</v>
      </c>
    </row>
    <row r="313" spans="1:5" x14ac:dyDescent="0.25">
      <c r="A313" s="2" t="s">
        <v>1292</v>
      </c>
      <c r="B313" s="546" t="s">
        <v>501</v>
      </c>
      <c r="C313" s="2">
        <v>19202100109</v>
      </c>
      <c r="D313" s="2">
        <v>4.2</v>
      </c>
      <c r="E313" s="379" t="s">
        <v>419</v>
      </c>
    </row>
    <row r="314" spans="1:5" x14ac:dyDescent="0.25">
      <c r="A314" s="2" t="s">
        <v>1292</v>
      </c>
      <c r="B314" s="546" t="s">
        <v>501</v>
      </c>
      <c r="C314" s="2">
        <v>19202100092</v>
      </c>
      <c r="D314" s="2">
        <v>3.97</v>
      </c>
      <c r="E314" s="379" t="s">
        <v>419</v>
      </c>
    </row>
    <row r="315" spans="1:5" x14ac:dyDescent="0.25">
      <c r="A315" s="2" t="s">
        <v>1292</v>
      </c>
      <c r="B315" s="546" t="s">
        <v>501</v>
      </c>
      <c r="C315" s="2">
        <v>19202100121</v>
      </c>
      <c r="D315" s="2">
        <v>3.77</v>
      </c>
      <c r="E315" s="379" t="s">
        <v>419</v>
      </c>
    </row>
    <row r="316" spans="1:5" x14ac:dyDescent="0.25">
      <c r="A316" s="2" t="s">
        <v>1292</v>
      </c>
      <c r="B316" s="546" t="s">
        <v>501</v>
      </c>
      <c r="C316" s="2">
        <v>19202100144</v>
      </c>
      <c r="D316" s="2">
        <v>3.75</v>
      </c>
      <c r="E316" s="379" t="s">
        <v>419</v>
      </c>
    </row>
    <row r="317" spans="1:5" x14ac:dyDescent="0.25">
      <c r="A317" s="2" t="s">
        <v>1292</v>
      </c>
      <c r="B317" s="546" t="s">
        <v>501</v>
      </c>
      <c r="C317" s="2">
        <v>19202100094</v>
      </c>
      <c r="D317" s="2">
        <v>3.64</v>
      </c>
      <c r="E317" s="379" t="s">
        <v>419</v>
      </c>
    </row>
    <row r="318" spans="1:5" x14ac:dyDescent="0.25">
      <c r="A318" s="2" t="s">
        <v>1292</v>
      </c>
      <c r="B318" s="546" t="s">
        <v>501</v>
      </c>
      <c r="C318" s="2">
        <v>19202100145</v>
      </c>
      <c r="D318" s="2">
        <v>3.62</v>
      </c>
      <c r="E318" s="379" t="s">
        <v>419</v>
      </c>
    </row>
    <row r="319" spans="1:5" x14ac:dyDescent="0.25">
      <c r="A319" s="2" t="s">
        <v>1292</v>
      </c>
      <c r="B319" s="546" t="s">
        <v>501</v>
      </c>
      <c r="C319" s="2">
        <v>19202100090</v>
      </c>
      <c r="D319" s="2">
        <v>3.47</v>
      </c>
      <c r="E319" s="379" t="s">
        <v>419</v>
      </c>
    </row>
    <row r="320" spans="1:5" x14ac:dyDescent="0.25">
      <c r="A320" s="2" t="s">
        <v>1292</v>
      </c>
      <c r="B320" s="546" t="s">
        <v>501</v>
      </c>
      <c r="C320" s="2">
        <v>19202100125</v>
      </c>
      <c r="D320" s="2">
        <v>3.47</v>
      </c>
      <c r="E320" s="379" t="s">
        <v>419</v>
      </c>
    </row>
    <row r="321" spans="1:5" x14ac:dyDescent="0.25">
      <c r="A321" s="2" t="s">
        <v>1292</v>
      </c>
      <c r="B321" s="546" t="s">
        <v>501</v>
      </c>
      <c r="C321" s="2">
        <v>19202100143</v>
      </c>
      <c r="D321" s="2">
        <v>3.47</v>
      </c>
      <c r="E321" s="379" t="s">
        <v>419</v>
      </c>
    </row>
    <row r="322" spans="1:5" x14ac:dyDescent="0.25">
      <c r="A322" s="2" t="s">
        <v>1292</v>
      </c>
      <c r="B322" s="546" t="s">
        <v>501</v>
      </c>
      <c r="C322" s="2">
        <v>19202100100</v>
      </c>
      <c r="D322" s="2">
        <v>3.29</v>
      </c>
      <c r="E322" s="379" t="s">
        <v>419</v>
      </c>
    </row>
    <row r="323" spans="1:5" x14ac:dyDescent="0.25">
      <c r="A323" s="2" t="s">
        <v>1292</v>
      </c>
      <c r="B323" s="546" t="s">
        <v>501</v>
      </c>
      <c r="C323" s="2">
        <v>19202100134</v>
      </c>
      <c r="D323" s="2">
        <v>3</v>
      </c>
      <c r="E323" s="379" t="s">
        <v>419</v>
      </c>
    </row>
    <row r="324" spans="1:5" x14ac:dyDescent="0.25">
      <c r="A324" s="2" t="s">
        <v>1292</v>
      </c>
      <c r="B324" s="546" t="s">
        <v>501</v>
      </c>
      <c r="C324" s="2">
        <v>19202100118</v>
      </c>
      <c r="D324" s="2">
        <v>2.2999999999999998</v>
      </c>
      <c r="E324" s="226" t="s">
        <v>420</v>
      </c>
    </row>
    <row r="325" spans="1:5" x14ac:dyDescent="0.25">
      <c r="A325" s="2" t="s">
        <v>1292</v>
      </c>
      <c r="B325" s="546" t="s">
        <v>501</v>
      </c>
      <c r="C325" s="2">
        <v>19202100133</v>
      </c>
      <c r="D325" s="2">
        <v>0</v>
      </c>
      <c r="E325" s="226" t="s">
        <v>420</v>
      </c>
    </row>
    <row r="326" spans="1:5" x14ac:dyDescent="0.25">
      <c r="A326" s="2" t="s">
        <v>1292</v>
      </c>
      <c r="B326" s="546" t="s">
        <v>372</v>
      </c>
      <c r="C326" s="2">
        <v>19202100142</v>
      </c>
      <c r="D326" s="2">
        <v>4.3</v>
      </c>
      <c r="E326" s="379" t="s">
        <v>419</v>
      </c>
    </row>
    <row r="327" spans="1:5" x14ac:dyDescent="0.25">
      <c r="A327" s="2" t="s">
        <v>1292</v>
      </c>
      <c r="B327" s="546" t="s">
        <v>372</v>
      </c>
      <c r="C327" s="2">
        <v>19202100093</v>
      </c>
      <c r="D327" s="2">
        <v>4.28</v>
      </c>
      <c r="E327" s="379" t="s">
        <v>419</v>
      </c>
    </row>
    <row r="328" spans="1:5" x14ac:dyDescent="0.25">
      <c r="A328" s="2" t="s">
        <v>1292</v>
      </c>
      <c r="B328" s="546" t="s">
        <v>372</v>
      </c>
      <c r="C328" s="2">
        <v>19202100129</v>
      </c>
      <c r="D328" s="2">
        <v>4.22</v>
      </c>
      <c r="E328" s="379" t="s">
        <v>419</v>
      </c>
    </row>
    <row r="329" spans="1:5" x14ac:dyDescent="0.25">
      <c r="A329" s="2" t="s">
        <v>1292</v>
      </c>
      <c r="B329" s="546" t="s">
        <v>372</v>
      </c>
      <c r="C329" s="2">
        <v>19202100147</v>
      </c>
      <c r="D329" s="2">
        <v>4.2</v>
      </c>
      <c r="E329" s="379" t="s">
        <v>419</v>
      </c>
    </row>
    <row r="330" spans="1:5" x14ac:dyDescent="0.25">
      <c r="A330" s="2" t="s">
        <v>1292</v>
      </c>
      <c r="B330" s="546" t="s">
        <v>372</v>
      </c>
      <c r="C330" s="2">
        <v>19202100127</v>
      </c>
      <c r="D330" s="2">
        <v>4.09</v>
      </c>
      <c r="E330" s="379" t="s">
        <v>419</v>
      </c>
    </row>
    <row r="331" spans="1:5" x14ac:dyDescent="0.25">
      <c r="A331" s="2" t="s">
        <v>1292</v>
      </c>
      <c r="B331" s="546" t="s">
        <v>372</v>
      </c>
      <c r="C331" s="2">
        <v>19202100132</v>
      </c>
      <c r="D331" s="2">
        <v>4.0199999999999996</v>
      </c>
      <c r="E331" s="379" t="s">
        <v>419</v>
      </c>
    </row>
    <row r="332" spans="1:5" x14ac:dyDescent="0.25">
      <c r="A332" s="2" t="s">
        <v>1292</v>
      </c>
      <c r="B332" s="546" t="s">
        <v>372</v>
      </c>
      <c r="C332" s="2">
        <v>19202100141</v>
      </c>
      <c r="D332" s="2">
        <v>3.99</v>
      </c>
      <c r="E332" s="379" t="s">
        <v>419</v>
      </c>
    </row>
    <row r="333" spans="1:5" x14ac:dyDescent="0.25">
      <c r="A333" s="2" t="s">
        <v>1292</v>
      </c>
      <c r="B333" s="546" t="s">
        <v>372</v>
      </c>
      <c r="C333" s="2">
        <v>19202100120</v>
      </c>
      <c r="D333" s="2">
        <v>3.98</v>
      </c>
      <c r="E333" s="379" t="s">
        <v>419</v>
      </c>
    </row>
    <row r="334" spans="1:5" x14ac:dyDescent="0.25">
      <c r="A334" s="2" t="s">
        <v>1292</v>
      </c>
      <c r="B334" s="546" t="s">
        <v>372</v>
      </c>
      <c r="C334" s="2">
        <v>19202100139</v>
      </c>
      <c r="D334" s="2">
        <v>3.98</v>
      </c>
      <c r="E334" s="379" t="s">
        <v>419</v>
      </c>
    </row>
    <row r="335" spans="1:5" x14ac:dyDescent="0.25">
      <c r="A335" s="2" t="s">
        <v>1292</v>
      </c>
      <c r="B335" s="546" t="s">
        <v>372</v>
      </c>
      <c r="C335" s="2">
        <v>19202100107</v>
      </c>
      <c r="D335" s="2">
        <v>3.93</v>
      </c>
      <c r="E335" s="379" t="s">
        <v>419</v>
      </c>
    </row>
    <row r="336" spans="1:5" x14ac:dyDescent="0.25">
      <c r="A336" s="2" t="s">
        <v>1292</v>
      </c>
      <c r="B336" s="546" t="s">
        <v>372</v>
      </c>
      <c r="C336" s="2">
        <v>19202100122</v>
      </c>
      <c r="D336" s="2">
        <v>3.89</v>
      </c>
      <c r="E336" s="379" t="s">
        <v>419</v>
      </c>
    </row>
    <row r="337" spans="1:5" x14ac:dyDescent="0.25">
      <c r="A337" s="2" t="s">
        <v>1292</v>
      </c>
      <c r="B337" s="546" t="s">
        <v>372</v>
      </c>
      <c r="C337" s="2">
        <v>19202100119</v>
      </c>
      <c r="D337" s="2">
        <v>3.87</v>
      </c>
      <c r="E337" s="379" t="s">
        <v>419</v>
      </c>
    </row>
    <row r="338" spans="1:5" x14ac:dyDescent="0.25">
      <c r="A338" s="2" t="s">
        <v>1292</v>
      </c>
      <c r="B338" s="546" t="s">
        <v>372</v>
      </c>
      <c r="C338" s="2">
        <v>19202100146</v>
      </c>
      <c r="D338" s="2">
        <v>3.85</v>
      </c>
      <c r="E338" s="379" t="s">
        <v>419</v>
      </c>
    </row>
    <row r="339" spans="1:5" x14ac:dyDescent="0.25">
      <c r="A339" s="2" t="s">
        <v>1292</v>
      </c>
      <c r="B339" s="546" t="s">
        <v>372</v>
      </c>
      <c r="C339" s="2">
        <v>19202100137</v>
      </c>
      <c r="D339" s="2">
        <v>3.64</v>
      </c>
      <c r="E339" s="379" t="s">
        <v>419</v>
      </c>
    </row>
    <row r="340" spans="1:5" x14ac:dyDescent="0.25">
      <c r="A340" s="2" t="s">
        <v>1292</v>
      </c>
      <c r="B340" s="546" t="s">
        <v>372</v>
      </c>
      <c r="C340" s="2">
        <v>19202100101</v>
      </c>
      <c r="D340" s="2">
        <v>3.59</v>
      </c>
      <c r="E340" s="379" t="s">
        <v>419</v>
      </c>
    </row>
    <row r="341" spans="1:5" x14ac:dyDescent="0.25">
      <c r="A341" s="2" t="s">
        <v>1292</v>
      </c>
      <c r="B341" s="546" t="s">
        <v>372</v>
      </c>
      <c r="C341" s="2">
        <v>19202100130</v>
      </c>
      <c r="D341" s="2">
        <v>3.27</v>
      </c>
      <c r="E341" s="379" t="s">
        <v>419</v>
      </c>
    </row>
    <row r="342" spans="1:5" x14ac:dyDescent="0.25">
      <c r="A342" s="2" t="s">
        <v>1292</v>
      </c>
      <c r="B342" s="546" t="s">
        <v>372</v>
      </c>
      <c r="C342" s="2">
        <v>19202100140</v>
      </c>
      <c r="D342" s="2">
        <v>3.1</v>
      </c>
      <c r="E342" s="379" t="s">
        <v>419</v>
      </c>
    </row>
    <row r="343" spans="1:5" x14ac:dyDescent="0.25">
      <c r="A343" s="2" t="s">
        <v>1379</v>
      </c>
      <c r="B343" s="2" t="s">
        <v>1380</v>
      </c>
      <c r="C343" s="2">
        <v>19202101177</v>
      </c>
      <c r="D343" s="2">
        <v>4.04</v>
      </c>
      <c r="E343" s="379" t="s">
        <v>419</v>
      </c>
    </row>
    <row r="344" spans="1:5" x14ac:dyDescent="0.25">
      <c r="A344" s="2" t="s">
        <v>1379</v>
      </c>
      <c r="B344" s="2" t="s">
        <v>1380</v>
      </c>
      <c r="C344" s="2">
        <v>19202101179</v>
      </c>
      <c r="D344" s="2">
        <v>3.87</v>
      </c>
      <c r="E344" s="379" t="s">
        <v>419</v>
      </c>
    </row>
    <row r="345" spans="1:5" x14ac:dyDescent="0.25">
      <c r="A345" s="2" t="s">
        <v>1379</v>
      </c>
      <c r="B345" s="2" t="s">
        <v>1380</v>
      </c>
      <c r="C345" s="2">
        <v>19202101150</v>
      </c>
      <c r="D345" s="2">
        <v>3.7</v>
      </c>
      <c r="E345" s="379" t="s">
        <v>419</v>
      </c>
    </row>
    <row r="346" spans="1:5" x14ac:dyDescent="0.25">
      <c r="A346" s="2" t="s">
        <v>1379</v>
      </c>
      <c r="B346" s="2" t="s">
        <v>1380</v>
      </c>
      <c r="C346" s="2">
        <v>19202101164</v>
      </c>
      <c r="D346" s="2">
        <v>0</v>
      </c>
      <c r="E346" s="226" t="s">
        <v>420</v>
      </c>
    </row>
    <row r="347" spans="1:5" x14ac:dyDescent="0.25">
      <c r="A347" s="2" t="s">
        <v>1424</v>
      </c>
      <c r="B347" s="2" t="s">
        <v>1380</v>
      </c>
      <c r="C347" s="2">
        <v>19202101470</v>
      </c>
      <c r="D347" s="2">
        <v>4.5999999999999996</v>
      </c>
      <c r="E347" s="379" t="s">
        <v>419</v>
      </c>
    </row>
    <row r="348" spans="1:5" x14ac:dyDescent="0.25">
      <c r="A348" s="2" t="s">
        <v>1424</v>
      </c>
      <c r="B348" s="2" t="s">
        <v>1380</v>
      </c>
      <c r="C348" s="2">
        <v>19202101444</v>
      </c>
      <c r="D348" s="2">
        <v>3.97</v>
      </c>
      <c r="E348" s="379" t="s">
        <v>419</v>
      </c>
    </row>
    <row r="349" spans="1:5" x14ac:dyDescent="0.25">
      <c r="A349" s="2" t="s">
        <v>1424</v>
      </c>
      <c r="B349" s="2" t="s">
        <v>1380</v>
      </c>
      <c r="C349" s="2">
        <v>19202101467</v>
      </c>
      <c r="D349" s="2">
        <v>3.9</v>
      </c>
      <c r="E349" s="379" t="s">
        <v>419</v>
      </c>
    </row>
    <row r="350" spans="1:5" x14ac:dyDescent="0.25">
      <c r="A350" s="2" t="s">
        <v>1424</v>
      </c>
      <c r="B350" s="2" t="s">
        <v>1380</v>
      </c>
      <c r="C350" s="2">
        <v>19202101413</v>
      </c>
      <c r="D350" s="2">
        <v>3.83</v>
      </c>
      <c r="E350" s="379" t="s">
        <v>419</v>
      </c>
    </row>
    <row r="351" spans="1:5" x14ac:dyDescent="0.25">
      <c r="A351" s="2" t="s">
        <v>1424</v>
      </c>
      <c r="B351" s="2" t="s">
        <v>1380</v>
      </c>
      <c r="C351" s="2">
        <v>19202101483</v>
      </c>
      <c r="D351" s="2">
        <v>3.77</v>
      </c>
      <c r="E351" s="379" t="s">
        <v>419</v>
      </c>
    </row>
    <row r="352" spans="1:5" x14ac:dyDescent="0.25">
      <c r="A352" s="2" t="s">
        <v>1424</v>
      </c>
      <c r="B352" s="2" t="s">
        <v>1380</v>
      </c>
      <c r="C352" s="2">
        <v>19202101416</v>
      </c>
      <c r="D352" s="2">
        <v>3.63</v>
      </c>
      <c r="E352" s="379" t="s">
        <v>419</v>
      </c>
    </row>
    <row r="353" spans="1:5" x14ac:dyDescent="0.25">
      <c r="A353" s="2" t="s">
        <v>1424</v>
      </c>
      <c r="B353" s="2" t="s">
        <v>1380</v>
      </c>
      <c r="C353" s="2">
        <v>19202101480</v>
      </c>
      <c r="D353" s="2">
        <v>3.57</v>
      </c>
      <c r="E353" s="379" t="s">
        <v>419</v>
      </c>
    </row>
    <row r="354" spans="1:5" x14ac:dyDescent="0.25">
      <c r="A354" s="2" t="s">
        <v>1424</v>
      </c>
      <c r="B354" s="2" t="s">
        <v>1380</v>
      </c>
      <c r="C354" s="2">
        <v>19202101472</v>
      </c>
      <c r="D354" s="2">
        <v>3.5</v>
      </c>
      <c r="E354" s="379" t="s">
        <v>419</v>
      </c>
    </row>
    <row r="355" spans="1:5" x14ac:dyDescent="0.25">
      <c r="A355" s="2" t="s">
        <v>1424</v>
      </c>
      <c r="B355" s="2" t="s">
        <v>1380</v>
      </c>
      <c r="C355" s="2">
        <v>19202101469</v>
      </c>
      <c r="D355" s="2">
        <v>3.47</v>
      </c>
      <c r="E355" s="379" t="s">
        <v>419</v>
      </c>
    </row>
    <row r="356" spans="1:5" x14ac:dyDescent="0.25">
      <c r="A356" s="2" t="s">
        <v>1424</v>
      </c>
      <c r="B356" s="2" t="s">
        <v>1380</v>
      </c>
      <c r="C356" s="2">
        <v>19202101473</v>
      </c>
      <c r="D356" s="2">
        <v>3.44</v>
      </c>
      <c r="E356" s="379" t="s">
        <v>419</v>
      </c>
    </row>
    <row r="357" spans="1:5" x14ac:dyDescent="0.25">
      <c r="A357" s="2" t="s">
        <v>1424</v>
      </c>
      <c r="B357" s="2" t="s">
        <v>1380</v>
      </c>
      <c r="C357" s="2">
        <v>19202101482</v>
      </c>
      <c r="D357" s="2">
        <v>3.24</v>
      </c>
      <c r="E357" s="379" t="s">
        <v>419</v>
      </c>
    </row>
    <row r="358" spans="1:5" x14ac:dyDescent="0.25">
      <c r="A358" s="2" t="s">
        <v>1424</v>
      </c>
      <c r="B358" s="2" t="s">
        <v>1380</v>
      </c>
      <c r="C358" s="2">
        <v>19202101471</v>
      </c>
      <c r="D358" s="2">
        <v>3.17</v>
      </c>
      <c r="E358" s="379" t="s">
        <v>419</v>
      </c>
    </row>
    <row r="359" spans="1:5" x14ac:dyDescent="0.25">
      <c r="A359" s="2" t="s">
        <v>1424</v>
      </c>
      <c r="B359" s="2" t="s">
        <v>1380</v>
      </c>
      <c r="C359" s="2">
        <v>19202101465</v>
      </c>
      <c r="D359" s="2">
        <v>3</v>
      </c>
      <c r="E359" s="379" t="s">
        <v>419</v>
      </c>
    </row>
    <row r="360" spans="1:5" x14ac:dyDescent="0.25">
      <c r="A360" s="2" t="s">
        <v>1424</v>
      </c>
      <c r="B360" s="2" t="s">
        <v>1380</v>
      </c>
      <c r="C360" s="2">
        <v>19202101466</v>
      </c>
      <c r="D360" s="2">
        <v>2.77</v>
      </c>
      <c r="E360" s="226" t="s">
        <v>420</v>
      </c>
    </row>
    <row r="361" spans="1:5" x14ac:dyDescent="0.25">
      <c r="A361" s="2" t="s">
        <v>1424</v>
      </c>
      <c r="B361" s="2" t="s">
        <v>1380</v>
      </c>
      <c r="C361" s="2">
        <v>19202101412</v>
      </c>
      <c r="D361" s="2">
        <v>2.0299999999999998</v>
      </c>
      <c r="E361" s="226" t="s">
        <v>420</v>
      </c>
    </row>
    <row r="362" spans="1:5" x14ac:dyDescent="0.25">
      <c r="A362" s="2" t="s">
        <v>1424</v>
      </c>
      <c r="B362" s="2" t="s">
        <v>1380</v>
      </c>
      <c r="C362" s="2">
        <v>19202101478</v>
      </c>
      <c r="D362" s="2">
        <v>0</v>
      </c>
      <c r="E362" s="226" t="s">
        <v>420</v>
      </c>
    </row>
    <row r="363" spans="1:5" x14ac:dyDescent="0.25">
      <c r="A363" s="829" t="s">
        <v>1455</v>
      </c>
      <c r="B363" s="829" t="s">
        <v>1380</v>
      </c>
      <c r="C363" s="2">
        <v>19202101583</v>
      </c>
      <c r="D363" s="2">
        <v>4</v>
      </c>
      <c r="E363" s="379" t="s">
        <v>419</v>
      </c>
    </row>
    <row r="364" spans="1:5" x14ac:dyDescent="0.25">
      <c r="A364" s="2" t="s">
        <v>1455</v>
      </c>
      <c r="B364" s="2" t="s">
        <v>1380</v>
      </c>
      <c r="C364" s="2">
        <v>19202101590</v>
      </c>
      <c r="D364" s="2">
        <v>3.67</v>
      </c>
      <c r="E364" s="379" t="s">
        <v>419</v>
      </c>
    </row>
    <row r="365" spans="1:5" x14ac:dyDescent="0.25">
      <c r="A365" s="2" t="s">
        <v>1455</v>
      </c>
      <c r="B365" s="2" t="s">
        <v>1380</v>
      </c>
      <c r="C365" s="2">
        <v>19202101595</v>
      </c>
      <c r="D365" s="2">
        <v>3.67</v>
      </c>
      <c r="E365" s="379" t="s">
        <v>419</v>
      </c>
    </row>
    <row r="366" spans="1:5" x14ac:dyDescent="0.25">
      <c r="A366" s="2" t="s">
        <v>1455</v>
      </c>
      <c r="B366" s="2" t="s">
        <v>1380</v>
      </c>
      <c r="C366" s="2">
        <v>19202101591</v>
      </c>
      <c r="D366" s="2">
        <v>3.47</v>
      </c>
      <c r="E366" s="379" t="s">
        <v>419</v>
      </c>
    </row>
    <row r="367" spans="1:5" x14ac:dyDescent="0.25">
      <c r="A367" s="2" t="s">
        <v>1455</v>
      </c>
      <c r="B367" s="2" t="s">
        <v>1380</v>
      </c>
      <c r="C367" s="2">
        <v>19202101581</v>
      </c>
      <c r="D367" s="2">
        <v>3.37</v>
      </c>
      <c r="E367" s="379" t="s">
        <v>419</v>
      </c>
    </row>
    <row r="368" spans="1:5" x14ac:dyDescent="0.25">
      <c r="A368" s="2" t="s">
        <v>1455</v>
      </c>
      <c r="B368" s="2" t="s">
        <v>1380</v>
      </c>
      <c r="C368" s="2">
        <v>19202101593</v>
      </c>
      <c r="D368" s="2">
        <v>3.1</v>
      </c>
      <c r="E368" s="379" t="s">
        <v>419</v>
      </c>
    </row>
    <row r="369" spans="1:5" x14ac:dyDescent="0.25">
      <c r="A369" s="2" t="s">
        <v>1455</v>
      </c>
      <c r="B369" s="2" t="s">
        <v>1380</v>
      </c>
      <c r="C369" s="2">
        <v>19202101596</v>
      </c>
      <c r="D369" s="2">
        <v>3.1</v>
      </c>
      <c r="E369" s="379" t="s">
        <v>419</v>
      </c>
    </row>
    <row r="370" spans="1:5" x14ac:dyDescent="0.25">
      <c r="A370" s="2" t="s">
        <v>1455</v>
      </c>
      <c r="B370" s="2" t="s">
        <v>1380</v>
      </c>
      <c r="C370" s="2">
        <v>19202101585</v>
      </c>
      <c r="D370" s="2">
        <v>0</v>
      </c>
      <c r="E370" s="226" t="s">
        <v>420</v>
      </c>
    </row>
    <row r="371" spans="1:5" x14ac:dyDescent="0.25">
      <c r="A371" s="2" t="s">
        <v>1455</v>
      </c>
      <c r="B371" s="2" t="s">
        <v>1380</v>
      </c>
      <c r="C371" s="2">
        <v>19202101587</v>
      </c>
      <c r="D371" s="2">
        <v>0</v>
      </c>
      <c r="E371" s="226" t="s">
        <v>420</v>
      </c>
    </row>
    <row r="372" spans="1:5" x14ac:dyDescent="0.25">
      <c r="A372" s="2" t="s">
        <v>1455</v>
      </c>
      <c r="B372" s="2" t="s">
        <v>1380</v>
      </c>
      <c r="C372" s="2">
        <v>19202101588</v>
      </c>
      <c r="D372" s="2">
        <v>0</v>
      </c>
      <c r="E372" s="226" t="s">
        <v>420</v>
      </c>
    </row>
    <row r="373" spans="1:5" x14ac:dyDescent="0.25">
      <c r="A373" s="2" t="s">
        <v>1455</v>
      </c>
      <c r="B373" s="2" t="s">
        <v>1380</v>
      </c>
      <c r="C373" s="2">
        <v>19202101594</v>
      </c>
      <c r="D373" s="2">
        <v>0</v>
      </c>
      <c r="E373" s="226" t="s">
        <v>420</v>
      </c>
    </row>
    <row r="374" spans="1:5" x14ac:dyDescent="0.25">
      <c r="A374" s="843" t="s">
        <v>1469</v>
      </c>
      <c r="B374" s="843" t="s">
        <v>1470</v>
      </c>
      <c r="C374" s="843">
        <v>19202101626</v>
      </c>
      <c r="D374" s="843">
        <v>4.24</v>
      </c>
      <c r="E374" s="379" t="s">
        <v>419</v>
      </c>
    </row>
    <row r="375" spans="1:5" x14ac:dyDescent="0.25">
      <c r="A375" s="843" t="s">
        <v>1469</v>
      </c>
      <c r="B375" s="843" t="s">
        <v>1470</v>
      </c>
      <c r="C375" s="843">
        <v>19202101636</v>
      </c>
      <c r="D375" s="843">
        <v>4.17</v>
      </c>
      <c r="E375" s="379" t="s">
        <v>419</v>
      </c>
    </row>
    <row r="376" spans="1:5" x14ac:dyDescent="0.25">
      <c r="A376" s="843" t="s">
        <v>1469</v>
      </c>
      <c r="B376" s="843" t="s">
        <v>1470</v>
      </c>
      <c r="C376" s="843">
        <v>19202101628</v>
      </c>
      <c r="D376" s="843">
        <v>4.1399999999999997</v>
      </c>
      <c r="E376" s="379" t="s">
        <v>419</v>
      </c>
    </row>
    <row r="377" spans="1:5" x14ac:dyDescent="0.25">
      <c r="A377" s="843" t="s">
        <v>1469</v>
      </c>
      <c r="B377" s="843" t="s">
        <v>1470</v>
      </c>
      <c r="C377" s="843">
        <v>19202101638</v>
      </c>
      <c r="D377" s="843">
        <v>4.1100000000000003</v>
      </c>
      <c r="E377" s="379" t="s">
        <v>419</v>
      </c>
    </row>
    <row r="378" spans="1:5" x14ac:dyDescent="0.25">
      <c r="A378" s="843" t="s">
        <v>1469</v>
      </c>
      <c r="B378" s="843" t="s">
        <v>1470</v>
      </c>
      <c r="C378" s="843">
        <v>19202101640</v>
      </c>
      <c r="D378" s="843">
        <v>4.04</v>
      </c>
      <c r="E378" s="379" t="s">
        <v>419</v>
      </c>
    </row>
    <row r="379" spans="1:5" x14ac:dyDescent="0.25">
      <c r="A379" s="843" t="s">
        <v>1469</v>
      </c>
      <c r="B379" s="843" t="s">
        <v>1470</v>
      </c>
      <c r="C379" s="843">
        <v>19202101627</v>
      </c>
      <c r="D379" s="843">
        <v>4.03</v>
      </c>
      <c r="E379" s="379" t="s">
        <v>419</v>
      </c>
    </row>
    <row r="380" spans="1:5" x14ac:dyDescent="0.25">
      <c r="A380" s="843" t="s">
        <v>1469</v>
      </c>
      <c r="B380" s="843" t="s">
        <v>1470</v>
      </c>
      <c r="C380" s="843">
        <v>19202101639</v>
      </c>
      <c r="D380" s="843">
        <v>3.97</v>
      </c>
      <c r="E380" s="379" t="s">
        <v>419</v>
      </c>
    </row>
    <row r="381" spans="1:5" x14ac:dyDescent="0.25">
      <c r="A381" s="843" t="s">
        <v>1469</v>
      </c>
      <c r="B381" s="843" t="s">
        <v>1470</v>
      </c>
      <c r="C381" s="843">
        <v>19202101635</v>
      </c>
      <c r="D381" s="843">
        <v>3.94</v>
      </c>
      <c r="E381" s="379" t="s">
        <v>419</v>
      </c>
    </row>
    <row r="382" spans="1:5" x14ac:dyDescent="0.25">
      <c r="A382" s="843" t="s">
        <v>1469</v>
      </c>
      <c r="B382" s="843" t="s">
        <v>1470</v>
      </c>
      <c r="C382" s="843">
        <v>19202101632</v>
      </c>
      <c r="D382" s="843">
        <v>3.8380000000000001</v>
      </c>
      <c r="E382" s="379" t="s">
        <v>419</v>
      </c>
    </row>
    <row r="383" spans="1:5" x14ac:dyDescent="0.25">
      <c r="A383" s="843" t="s">
        <v>1469</v>
      </c>
      <c r="B383" s="843" t="s">
        <v>1470</v>
      </c>
      <c r="C383" s="843">
        <v>19202101634</v>
      </c>
      <c r="D383" s="843">
        <v>3.67</v>
      </c>
      <c r="E383" s="379" t="s">
        <v>419</v>
      </c>
    </row>
    <row r="384" spans="1:5" x14ac:dyDescent="0.25">
      <c r="A384" s="843" t="s">
        <v>1469</v>
      </c>
      <c r="B384" s="843" t="s">
        <v>1470</v>
      </c>
      <c r="C384" s="843">
        <v>19202101630</v>
      </c>
      <c r="D384" s="843">
        <v>3.64</v>
      </c>
      <c r="E384" s="379" t="s">
        <v>419</v>
      </c>
    </row>
    <row r="385" spans="1:7" x14ac:dyDescent="0.25">
      <c r="A385" s="843" t="s">
        <v>1469</v>
      </c>
      <c r="B385" s="843" t="s">
        <v>1470</v>
      </c>
      <c r="C385" s="843">
        <v>19202101641</v>
      </c>
      <c r="D385" s="843">
        <v>3.6</v>
      </c>
      <c r="E385" s="379" t="s">
        <v>419</v>
      </c>
    </row>
    <row r="386" spans="1:7" x14ac:dyDescent="0.25">
      <c r="A386" s="843" t="s">
        <v>1469</v>
      </c>
      <c r="B386" s="843" t="s">
        <v>1470</v>
      </c>
      <c r="C386" s="843">
        <v>19202101629</v>
      </c>
      <c r="D386" s="843">
        <v>3.31</v>
      </c>
      <c r="E386" s="379" t="s">
        <v>419</v>
      </c>
    </row>
    <row r="387" spans="1:7" x14ac:dyDescent="0.25">
      <c r="A387" s="843" t="s">
        <v>1469</v>
      </c>
      <c r="B387" s="843" t="s">
        <v>1470</v>
      </c>
      <c r="C387" s="843">
        <v>19202101633</v>
      </c>
      <c r="D387" s="843">
        <v>2.6</v>
      </c>
      <c r="E387" s="845" t="s">
        <v>420</v>
      </c>
    </row>
    <row r="388" spans="1:7" x14ac:dyDescent="0.25">
      <c r="A388" s="843" t="s">
        <v>1469</v>
      </c>
      <c r="B388" s="843" t="s">
        <v>1470</v>
      </c>
      <c r="C388" s="843">
        <v>19202101665</v>
      </c>
      <c r="D388" s="844">
        <v>0</v>
      </c>
      <c r="E388" s="845" t="s">
        <v>420</v>
      </c>
    </row>
    <row r="389" spans="1:7" x14ac:dyDescent="0.25">
      <c r="A389" s="843" t="s">
        <v>1522</v>
      </c>
      <c r="B389" s="843" t="s">
        <v>1523</v>
      </c>
      <c r="C389" s="843">
        <v>19202200104</v>
      </c>
      <c r="D389" s="843">
        <v>4.2030000000000003</v>
      </c>
      <c r="E389" s="379" t="s">
        <v>419</v>
      </c>
      <c r="F389" s="829"/>
      <c r="G389" s="829"/>
    </row>
    <row r="390" spans="1:7" x14ac:dyDescent="0.25">
      <c r="A390" s="843" t="s">
        <v>1522</v>
      </c>
      <c r="B390" s="843" t="s">
        <v>1523</v>
      </c>
      <c r="C390" s="843">
        <v>19202200099</v>
      </c>
      <c r="D390" s="843">
        <v>3.9860000000000002</v>
      </c>
      <c r="E390" s="379" t="s">
        <v>419</v>
      </c>
      <c r="F390" s="829"/>
      <c r="G390" s="829"/>
    </row>
    <row r="391" spans="1:7" x14ac:dyDescent="0.25">
      <c r="A391" s="843" t="s">
        <v>1522</v>
      </c>
      <c r="B391" s="843" t="s">
        <v>1523</v>
      </c>
      <c r="C391" s="843">
        <v>19202200083</v>
      </c>
      <c r="D391" s="843">
        <v>3.919</v>
      </c>
      <c r="E391" s="379" t="s">
        <v>419</v>
      </c>
      <c r="F391" s="829"/>
      <c r="G391" s="829"/>
    </row>
    <row r="392" spans="1:7" x14ac:dyDescent="0.25">
      <c r="A392" s="843" t="s">
        <v>1522</v>
      </c>
      <c r="B392" s="843" t="s">
        <v>1523</v>
      </c>
      <c r="C392" s="843">
        <v>19202200086</v>
      </c>
      <c r="D392" s="843">
        <v>3.9020000000000001</v>
      </c>
      <c r="E392" s="379" t="s">
        <v>419</v>
      </c>
      <c r="F392" s="829"/>
      <c r="G392" s="829"/>
    </row>
    <row r="393" spans="1:7" x14ac:dyDescent="0.25">
      <c r="A393" s="843" t="s">
        <v>1522</v>
      </c>
      <c r="B393" s="843" t="s">
        <v>1523</v>
      </c>
      <c r="C393" s="843">
        <v>19202200061</v>
      </c>
      <c r="D393" s="843">
        <v>3.8540000000000001</v>
      </c>
      <c r="E393" s="379" t="s">
        <v>419</v>
      </c>
      <c r="F393" s="829"/>
      <c r="G393" s="829"/>
    </row>
    <row r="394" spans="1:7" x14ac:dyDescent="0.25">
      <c r="A394" s="843" t="s">
        <v>1522</v>
      </c>
      <c r="B394" s="843" t="s">
        <v>1523</v>
      </c>
      <c r="C394" s="843">
        <v>19202200082</v>
      </c>
      <c r="D394" s="843">
        <v>3.8180000000000001</v>
      </c>
      <c r="E394" s="379" t="s">
        <v>419</v>
      </c>
      <c r="F394" s="829"/>
      <c r="G394" s="829"/>
    </row>
    <row r="395" spans="1:7" x14ac:dyDescent="0.25">
      <c r="A395" s="843" t="s">
        <v>1522</v>
      </c>
      <c r="B395" s="843" t="s">
        <v>1523</v>
      </c>
      <c r="C395" s="843">
        <v>19202200050</v>
      </c>
      <c r="D395" s="843">
        <v>3.8039999999999998</v>
      </c>
      <c r="E395" s="379" t="s">
        <v>419</v>
      </c>
      <c r="F395" s="829"/>
      <c r="G395" s="829"/>
    </row>
    <row r="396" spans="1:7" x14ac:dyDescent="0.25">
      <c r="A396" s="843" t="s">
        <v>1522</v>
      </c>
      <c r="B396" s="843" t="s">
        <v>1523</v>
      </c>
      <c r="C396" s="843">
        <v>19202200035</v>
      </c>
      <c r="D396" s="843">
        <v>3.2530000000000001</v>
      </c>
      <c r="E396" s="379" t="s">
        <v>419</v>
      </c>
      <c r="F396" s="829"/>
      <c r="G396" s="829"/>
    </row>
    <row r="397" spans="1:7" x14ac:dyDescent="0.25">
      <c r="A397" s="843" t="s">
        <v>1522</v>
      </c>
      <c r="B397" s="843" t="s">
        <v>1523</v>
      </c>
      <c r="C397" s="843">
        <v>19202200080</v>
      </c>
      <c r="D397" s="843">
        <v>3.2370000000000001</v>
      </c>
      <c r="E397" s="379" t="s">
        <v>419</v>
      </c>
      <c r="F397" s="829"/>
      <c r="G397" s="829"/>
    </row>
    <row r="398" spans="1:7" x14ac:dyDescent="0.25">
      <c r="A398" s="843" t="s">
        <v>1522</v>
      </c>
      <c r="B398" s="843" t="s">
        <v>1523</v>
      </c>
      <c r="C398" s="843">
        <v>19202200111</v>
      </c>
      <c r="D398" s="843">
        <v>3.2189999999999999</v>
      </c>
      <c r="E398" s="845" t="s">
        <v>420</v>
      </c>
      <c r="F398" s="829"/>
      <c r="G398" s="829"/>
    </row>
    <row r="399" spans="1:7" x14ac:dyDescent="0.25">
      <c r="A399" s="843" t="s">
        <v>1522</v>
      </c>
      <c r="B399" s="843" t="s">
        <v>1523</v>
      </c>
      <c r="C399" s="843">
        <v>19202200106</v>
      </c>
      <c r="D399" s="843">
        <v>3.2029999999999998</v>
      </c>
      <c r="E399" s="845" t="s">
        <v>420</v>
      </c>
      <c r="F399" s="829"/>
      <c r="G399" s="829"/>
    </row>
    <row r="400" spans="1:7" x14ac:dyDescent="0.25">
      <c r="A400" s="843" t="s">
        <v>1522</v>
      </c>
      <c r="B400" s="843" t="s">
        <v>1523</v>
      </c>
      <c r="C400" s="843">
        <v>19202200116</v>
      </c>
      <c r="D400" s="843">
        <v>3.1030000000000002</v>
      </c>
      <c r="E400" s="845" t="s">
        <v>420</v>
      </c>
      <c r="F400" s="829"/>
      <c r="G400" s="829"/>
    </row>
    <row r="401" spans="1:7" x14ac:dyDescent="0.25">
      <c r="A401" s="843" t="s">
        <v>1522</v>
      </c>
      <c r="B401" s="843" t="s">
        <v>1523</v>
      </c>
      <c r="C401" s="843">
        <v>19202200038</v>
      </c>
      <c r="D401" s="843">
        <v>3.1019999999999999</v>
      </c>
      <c r="E401" s="845" t="s">
        <v>420</v>
      </c>
      <c r="F401" s="829"/>
      <c r="G401" s="829"/>
    </row>
    <row r="402" spans="1:7" x14ac:dyDescent="0.25">
      <c r="A402" s="843" t="s">
        <v>1522</v>
      </c>
      <c r="B402" s="843" t="s">
        <v>1523</v>
      </c>
      <c r="C402" s="843">
        <v>19202200102</v>
      </c>
      <c r="D402" s="843">
        <v>3.07</v>
      </c>
      <c r="E402" s="845" t="s">
        <v>420</v>
      </c>
      <c r="F402" s="829"/>
      <c r="G402" s="829"/>
    </row>
    <row r="403" spans="1:7" x14ac:dyDescent="0.25">
      <c r="A403" s="843" t="s">
        <v>1522</v>
      </c>
      <c r="B403" s="843" t="s">
        <v>1523</v>
      </c>
      <c r="C403" s="843">
        <v>19202200055</v>
      </c>
      <c r="D403" s="843">
        <v>0</v>
      </c>
      <c r="E403" s="845" t="s">
        <v>420</v>
      </c>
      <c r="F403" s="829"/>
      <c r="G403" s="829"/>
    </row>
    <row r="404" spans="1:7" x14ac:dyDescent="0.25">
      <c r="A404" s="843" t="s">
        <v>1522</v>
      </c>
      <c r="B404" s="843" t="s">
        <v>1524</v>
      </c>
      <c r="C404" s="843">
        <v>19202200117</v>
      </c>
      <c r="D404" s="843">
        <v>4.37</v>
      </c>
      <c r="E404" s="379" t="s">
        <v>419</v>
      </c>
      <c r="F404" s="829"/>
      <c r="G404" s="829"/>
    </row>
    <row r="405" spans="1:7" x14ac:dyDescent="0.25">
      <c r="A405" s="843" t="s">
        <v>1522</v>
      </c>
      <c r="B405" s="843" t="s">
        <v>1524</v>
      </c>
      <c r="C405" s="843">
        <v>19202200107</v>
      </c>
      <c r="D405" s="843">
        <v>4.2690000000000001</v>
      </c>
      <c r="E405" s="379" t="s">
        <v>419</v>
      </c>
      <c r="F405" s="829"/>
      <c r="G405" s="829"/>
    </row>
    <row r="406" spans="1:7" x14ac:dyDescent="0.25">
      <c r="A406" s="843" t="s">
        <v>1522</v>
      </c>
      <c r="B406" s="843" t="s">
        <v>1524</v>
      </c>
      <c r="C406" s="843">
        <v>19202200105</v>
      </c>
      <c r="D406" s="843">
        <v>4.2530000000000001</v>
      </c>
      <c r="E406" s="379" t="s">
        <v>419</v>
      </c>
      <c r="F406" s="829"/>
      <c r="G406" s="829"/>
    </row>
    <row r="407" spans="1:7" x14ac:dyDescent="0.25">
      <c r="A407" s="843" t="s">
        <v>1522</v>
      </c>
      <c r="B407" s="843" t="s">
        <v>1524</v>
      </c>
      <c r="C407" s="843">
        <v>19202200092</v>
      </c>
      <c r="D407" s="843">
        <v>4.25</v>
      </c>
      <c r="E407" s="379" t="s">
        <v>419</v>
      </c>
      <c r="F407" s="829"/>
      <c r="G407" s="829"/>
    </row>
    <row r="408" spans="1:7" x14ac:dyDescent="0.25">
      <c r="A408" s="843" t="s">
        <v>1522</v>
      </c>
      <c r="B408" s="843" t="s">
        <v>1524</v>
      </c>
      <c r="C408" s="843">
        <v>19202200063</v>
      </c>
      <c r="D408" s="843">
        <v>4.2389999999999999</v>
      </c>
      <c r="E408" s="379" t="s">
        <v>419</v>
      </c>
      <c r="F408" s="829"/>
      <c r="G408" s="829"/>
    </row>
    <row r="409" spans="1:7" x14ac:dyDescent="0.25">
      <c r="A409" s="843" t="s">
        <v>1522</v>
      </c>
      <c r="B409" s="843" t="s">
        <v>1524</v>
      </c>
      <c r="C409" s="843">
        <v>19202200120</v>
      </c>
      <c r="D409" s="843">
        <v>4.2050000000000001</v>
      </c>
      <c r="E409" s="379" t="s">
        <v>419</v>
      </c>
      <c r="F409" s="829"/>
      <c r="G409" s="829"/>
    </row>
    <row r="410" spans="1:7" x14ac:dyDescent="0.25">
      <c r="A410" s="843" t="s">
        <v>1522</v>
      </c>
      <c r="B410" s="843" t="s">
        <v>1524</v>
      </c>
      <c r="C410" s="843">
        <v>19202200096</v>
      </c>
      <c r="D410" s="843">
        <v>4.1890000000000001</v>
      </c>
      <c r="E410" s="379" t="s">
        <v>419</v>
      </c>
      <c r="F410" s="829"/>
      <c r="G410" s="829"/>
    </row>
    <row r="411" spans="1:7" x14ac:dyDescent="0.25">
      <c r="A411" s="843" t="s">
        <v>1522</v>
      </c>
      <c r="B411" s="843" t="s">
        <v>1524</v>
      </c>
      <c r="C411" s="843">
        <v>19202200095</v>
      </c>
      <c r="D411" s="843">
        <v>4.1539999999999999</v>
      </c>
      <c r="E411" s="379" t="s">
        <v>419</v>
      </c>
      <c r="F411" s="829"/>
      <c r="G411" s="829"/>
    </row>
    <row r="412" spans="1:7" x14ac:dyDescent="0.25">
      <c r="A412" s="843" t="s">
        <v>1522</v>
      </c>
      <c r="B412" s="843" t="s">
        <v>1524</v>
      </c>
      <c r="C412" s="843">
        <v>19202200114</v>
      </c>
      <c r="D412" s="843">
        <v>4.1029999999999998</v>
      </c>
      <c r="E412" s="379" t="s">
        <v>419</v>
      </c>
      <c r="F412" s="829"/>
      <c r="G412" s="829"/>
    </row>
    <row r="413" spans="1:7" x14ac:dyDescent="0.25">
      <c r="A413" s="843" t="s">
        <v>1522</v>
      </c>
      <c r="B413" s="843" t="s">
        <v>1524</v>
      </c>
      <c r="C413" s="843">
        <v>19202200068</v>
      </c>
      <c r="D413" s="843">
        <v>4.0049999999999999</v>
      </c>
      <c r="E413" s="379" t="s">
        <v>419</v>
      </c>
      <c r="F413" s="829"/>
      <c r="G413" s="829"/>
    </row>
    <row r="414" spans="1:7" x14ac:dyDescent="0.25">
      <c r="A414" s="843" t="s">
        <v>1522</v>
      </c>
      <c r="B414" s="843" t="s">
        <v>1524</v>
      </c>
      <c r="C414" s="843">
        <v>19202200109</v>
      </c>
      <c r="D414" s="843">
        <v>3.97</v>
      </c>
      <c r="E414" s="379" t="s">
        <v>419</v>
      </c>
      <c r="F414" s="829"/>
      <c r="G414" s="829"/>
    </row>
    <row r="415" spans="1:7" x14ac:dyDescent="0.25">
      <c r="A415" s="843" t="s">
        <v>1522</v>
      </c>
      <c r="B415" s="843" t="s">
        <v>1524</v>
      </c>
      <c r="C415" s="843">
        <v>19202200074</v>
      </c>
      <c r="D415" s="843">
        <v>3.887</v>
      </c>
      <c r="E415" s="379" t="s">
        <v>419</v>
      </c>
      <c r="F415" s="829"/>
      <c r="G415" s="829"/>
    </row>
    <row r="416" spans="1:7" x14ac:dyDescent="0.25">
      <c r="A416" s="843" t="s">
        <v>1522</v>
      </c>
      <c r="B416" s="843" t="s">
        <v>1524</v>
      </c>
      <c r="C416" s="843">
        <v>19202200112</v>
      </c>
      <c r="D416" s="843">
        <v>3.82</v>
      </c>
      <c r="E416" s="379" t="s">
        <v>419</v>
      </c>
      <c r="F416" s="829"/>
      <c r="G416" s="829"/>
    </row>
    <row r="417" spans="1:7" x14ac:dyDescent="0.25">
      <c r="A417" s="843" t="s">
        <v>1522</v>
      </c>
      <c r="B417" s="843" t="s">
        <v>1524</v>
      </c>
      <c r="C417" s="843">
        <v>19202200081</v>
      </c>
      <c r="D417" s="843">
        <v>3.7029999999999998</v>
      </c>
      <c r="E417" s="845" t="s">
        <v>420</v>
      </c>
      <c r="F417" s="829"/>
      <c r="G417" s="829"/>
    </row>
    <row r="418" spans="1:7" x14ac:dyDescent="0.25">
      <c r="A418" s="843" t="s">
        <v>1522</v>
      </c>
      <c r="B418" s="843" t="s">
        <v>1524</v>
      </c>
      <c r="C418" s="843">
        <v>19202200122</v>
      </c>
      <c r="D418" s="843">
        <v>3.7029999999999998</v>
      </c>
      <c r="E418" s="845" t="s">
        <v>420</v>
      </c>
      <c r="F418" s="829"/>
      <c r="G418" s="829"/>
    </row>
    <row r="419" spans="1:7" x14ac:dyDescent="0.25">
      <c r="A419" s="843" t="s">
        <v>1522</v>
      </c>
      <c r="B419" s="843" t="s">
        <v>1524</v>
      </c>
      <c r="C419" s="843">
        <v>19202200115</v>
      </c>
      <c r="D419" s="843">
        <v>3.6709999999999998</v>
      </c>
      <c r="E419" s="379" t="s">
        <v>419</v>
      </c>
      <c r="F419" s="829"/>
      <c r="G419" s="829"/>
    </row>
    <row r="420" spans="1:7" x14ac:dyDescent="0.25">
      <c r="A420" s="843" t="s">
        <v>1522</v>
      </c>
      <c r="B420" s="843" t="s">
        <v>1524</v>
      </c>
      <c r="C420" s="843">
        <v>19202200094</v>
      </c>
      <c r="D420" s="843">
        <v>3.4689999999999999</v>
      </c>
      <c r="E420" s="845" t="s">
        <v>420</v>
      </c>
      <c r="F420" s="829"/>
      <c r="G420" s="829"/>
    </row>
    <row r="421" spans="1:7" x14ac:dyDescent="0.25">
      <c r="A421" s="843" t="s">
        <v>1522</v>
      </c>
      <c r="B421" s="843" t="s">
        <v>1524</v>
      </c>
      <c r="C421" s="843">
        <v>19202200113</v>
      </c>
      <c r="D421" s="843">
        <v>3.3380000000000001</v>
      </c>
      <c r="E421" s="845" t="s">
        <v>420</v>
      </c>
      <c r="F421" s="829"/>
      <c r="G421" s="829"/>
    </row>
    <row r="422" spans="1:7" x14ac:dyDescent="0.25">
      <c r="A422" s="843" t="s">
        <v>1522</v>
      </c>
      <c r="B422" s="843" t="s">
        <v>1524</v>
      </c>
      <c r="C422" s="843">
        <v>19202200072</v>
      </c>
      <c r="D422" s="843">
        <v>3.17</v>
      </c>
      <c r="E422" s="845" t="s">
        <v>420</v>
      </c>
      <c r="F422" s="829"/>
      <c r="G422" s="829"/>
    </row>
    <row r="423" spans="1:7" x14ac:dyDescent="0.25">
      <c r="A423" s="843" t="s">
        <v>1522</v>
      </c>
      <c r="B423" s="843" t="s">
        <v>1524</v>
      </c>
      <c r="C423" s="843">
        <v>19202200101</v>
      </c>
      <c r="D423" s="843">
        <v>3.17</v>
      </c>
      <c r="E423" s="845" t="s">
        <v>420</v>
      </c>
      <c r="F423" s="829"/>
      <c r="G423" s="829"/>
    </row>
    <row r="424" spans="1:7" x14ac:dyDescent="0.25">
      <c r="A424" s="843" t="s">
        <v>1522</v>
      </c>
      <c r="B424" s="843" t="s">
        <v>1524</v>
      </c>
      <c r="C424" s="843">
        <v>19202200121</v>
      </c>
      <c r="D424" s="843">
        <v>3.169</v>
      </c>
      <c r="E424" s="845" t="s">
        <v>420</v>
      </c>
      <c r="F424" s="829"/>
      <c r="G424" s="829"/>
    </row>
    <row r="425" spans="1:7" x14ac:dyDescent="0.25">
      <c r="A425" s="843" t="s">
        <v>1522</v>
      </c>
      <c r="B425" s="843" t="s">
        <v>1524</v>
      </c>
      <c r="C425" s="843">
        <v>19202200087</v>
      </c>
      <c r="D425" s="843">
        <v>3.069</v>
      </c>
      <c r="E425" s="845" t="s">
        <v>420</v>
      </c>
      <c r="F425" s="829"/>
      <c r="G425" s="829"/>
    </row>
    <row r="426" spans="1:7" x14ac:dyDescent="0.25">
      <c r="A426" s="843" t="s">
        <v>1522</v>
      </c>
      <c r="B426" s="843" t="s">
        <v>1524</v>
      </c>
      <c r="C426" s="843">
        <v>19202200119</v>
      </c>
      <c r="D426" s="843">
        <v>2.7530000000000001</v>
      </c>
      <c r="E426" s="845" t="s">
        <v>420</v>
      </c>
      <c r="F426" s="829"/>
      <c r="G426" s="829"/>
    </row>
    <row r="427" spans="1:7" x14ac:dyDescent="0.25">
      <c r="A427" s="843" t="s">
        <v>1522</v>
      </c>
      <c r="B427" s="843" t="s">
        <v>1524</v>
      </c>
      <c r="C427" s="843">
        <v>19202200110</v>
      </c>
      <c r="D427" s="843">
        <v>2.2029999999999998</v>
      </c>
      <c r="E427" s="845" t="s">
        <v>420</v>
      </c>
      <c r="F427" s="829"/>
      <c r="G427" s="829"/>
    </row>
    <row r="428" spans="1:7" x14ac:dyDescent="0.25">
      <c r="A428" s="843" t="s">
        <v>1522</v>
      </c>
      <c r="B428" s="843" t="s">
        <v>1524</v>
      </c>
      <c r="C428" s="843">
        <v>19202200048</v>
      </c>
      <c r="D428" s="843">
        <v>0</v>
      </c>
      <c r="E428" s="845" t="s">
        <v>420</v>
      </c>
      <c r="F428" s="829"/>
      <c r="G428" s="829"/>
    </row>
    <row r="429" spans="1:7" x14ac:dyDescent="0.25">
      <c r="A429" s="843" t="s">
        <v>1522</v>
      </c>
      <c r="B429" s="843" t="s">
        <v>1524</v>
      </c>
      <c r="C429" s="843">
        <v>19202200056</v>
      </c>
      <c r="D429" s="843">
        <v>0</v>
      </c>
      <c r="E429" s="845" t="s">
        <v>420</v>
      </c>
      <c r="F429" s="829"/>
      <c r="G429" s="829"/>
    </row>
    <row r="430" spans="1:7" x14ac:dyDescent="0.25">
      <c r="A430" s="829" t="s">
        <v>1556</v>
      </c>
      <c r="B430" s="829" t="s">
        <v>1557</v>
      </c>
      <c r="C430" s="843">
        <v>19202200428</v>
      </c>
      <c r="D430" s="843">
        <v>3.9340000000000002</v>
      </c>
      <c r="E430" s="379" t="s">
        <v>419</v>
      </c>
    </row>
    <row r="431" spans="1:7" x14ac:dyDescent="0.25">
      <c r="A431" s="829" t="s">
        <v>1556</v>
      </c>
      <c r="B431" s="829" t="s">
        <v>1557</v>
      </c>
      <c r="C431" s="843">
        <v>19202200429</v>
      </c>
      <c r="D431" s="843">
        <v>3.702</v>
      </c>
      <c r="E431" s="379" t="s">
        <v>419</v>
      </c>
    </row>
    <row r="432" spans="1:7" x14ac:dyDescent="0.25">
      <c r="A432" s="829" t="s">
        <v>1556</v>
      </c>
      <c r="B432" s="829" t="s">
        <v>1557</v>
      </c>
      <c r="C432" s="843">
        <v>19202200422</v>
      </c>
      <c r="D432" s="843">
        <v>3.669</v>
      </c>
      <c r="E432" s="379" t="s">
        <v>419</v>
      </c>
    </row>
    <row r="433" spans="1:5" x14ac:dyDescent="0.25">
      <c r="A433" s="829" t="s">
        <v>1556</v>
      </c>
      <c r="B433" s="829" t="s">
        <v>1557</v>
      </c>
      <c r="C433" s="843">
        <v>19202200431</v>
      </c>
      <c r="D433" s="843">
        <v>3.6669999999999998</v>
      </c>
      <c r="E433" s="379" t="s">
        <v>419</v>
      </c>
    </row>
    <row r="434" spans="1:5" x14ac:dyDescent="0.25">
      <c r="A434" s="829" t="s">
        <v>1556</v>
      </c>
      <c r="B434" s="829" t="s">
        <v>1557</v>
      </c>
      <c r="C434" s="843">
        <v>19202200430</v>
      </c>
      <c r="D434" s="843">
        <v>3.5369999999999999</v>
      </c>
      <c r="E434" s="379" t="s">
        <v>419</v>
      </c>
    </row>
    <row r="435" spans="1:5" x14ac:dyDescent="0.25">
      <c r="A435" s="829" t="s">
        <v>1556</v>
      </c>
      <c r="B435" s="829" t="s">
        <v>1557</v>
      </c>
      <c r="C435" s="843">
        <v>19202200432</v>
      </c>
      <c r="D435" s="843">
        <v>3.4359999999999999</v>
      </c>
      <c r="E435" s="379" t="s">
        <v>419</v>
      </c>
    </row>
    <row r="436" spans="1:5" x14ac:dyDescent="0.25">
      <c r="A436" s="829" t="s">
        <v>1556</v>
      </c>
      <c r="B436" s="829" t="s">
        <v>1557</v>
      </c>
      <c r="C436" s="843">
        <v>19202200433</v>
      </c>
      <c r="D436" s="843">
        <v>3</v>
      </c>
      <c r="E436" s="379" t="s">
        <v>419</v>
      </c>
    </row>
    <row r="437" spans="1:5" x14ac:dyDescent="0.25">
      <c r="A437" s="829" t="s">
        <v>1556</v>
      </c>
      <c r="B437" s="829" t="s">
        <v>1557</v>
      </c>
      <c r="C437" s="843">
        <v>19202200420</v>
      </c>
      <c r="D437" s="843">
        <v>2.7029999999999998</v>
      </c>
      <c r="E437" s="845" t="s">
        <v>420</v>
      </c>
    </row>
    <row r="438" spans="1:5" x14ac:dyDescent="0.25">
      <c r="A438" s="829" t="s">
        <v>1556</v>
      </c>
      <c r="B438" s="829" t="s">
        <v>1557</v>
      </c>
      <c r="C438" s="843">
        <v>19202200421</v>
      </c>
      <c r="D438" s="843">
        <v>0</v>
      </c>
      <c r="E438" s="845" t="s">
        <v>420</v>
      </c>
    </row>
    <row r="439" spans="1:5" x14ac:dyDescent="0.25">
      <c r="A439" s="829" t="s">
        <v>1556</v>
      </c>
      <c r="B439" s="829" t="s">
        <v>1557</v>
      </c>
      <c r="C439" s="843">
        <v>19202200426</v>
      </c>
      <c r="D439" s="843">
        <v>0</v>
      </c>
      <c r="E439" s="845" t="s">
        <v>420</v>
      </c>
    </row>
    <row r="440" spans="1:5" x14ac:dyDescent="0.25">
      <c r="A440" s="829" t="s">
        <v>1556</v>
      </c>
      <c r="B440" s="829" t="s">
        <v>1557</v>
      </c>
      <c r="C440" s="843">
        <v>19202200427</v>
      </c>
      <c r="D440" s="843">
        <v>0</v>
      </c>
      <c r="E440" s="845" t="s">
        <v>420</v>
      </c>
    </row>
  </sheetData>
  <sortState ref="A3:E44">
    <sortCondition descending="1" ref="D3:D44"/>
  </sortState>
  <mergeCells count="1">
    <mergeCell ref="A1:E1"/>
  </mergeCells>
  <pageMargins left="0.7" right="0.7" top="0.75" bottom="0.75" header="0.3" footer="0.3"/>
  <pageSetup orientation="portrait" r:id="rId1"/>
  <ignoredErrors>
    <ignoredError sqref="C3:C4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tabSelected="1" workbookViewId="0">
      <pane ySplit="2" topLeftCell="A363" activePane="bottomLeft" state="frozen"/>
      <selection pane="bottomLeft" activeCell="B395" sqref="B395"/>
    </sheetView>
  </sheetViews>
  <sheetFormatPr defaultRowHeight="15" x14ac:dyDescent="0.25"/>
  <cols>
    <col min="1" max="1" width="21.140625" bestFit="1" customWidth="1"/>
    <col min="2" max="2" width="30.140625" customWidth="1"/>
    <col min="3" max="3" width="17" customWidth="1"/>
    <col min="4" max="4" width="13.140625" bestFit="1" customWidth="1"/>
    <col min="5" max="5" width="17" customWidth="1"/>
    <col min="6" max="6" width="18.140625" customWidth="1"/>
  </cols>
  <sheetData>
    <row r="1" spans="1:6" ht="16.5" thickBot="1" x14ac:dyDescent="0.3">
      <c r="A1" s="865" t="s">
        <v>32</v>
      </c>
      <c r="B1" s="866"/>
      <c r="C1" s="851"/>
      <c r="D1" s="851"/>
      <c r="E1" s="851"/>
      <c r="F1" s="867"/>
    </row>
    <row r="2" spans="1:6" ht="45" x14ac:dyDescent="0.25">
      <c r="A2" s="253" t="s">
        <v>6</v>
      </c>
      <c r="B2" s="254" t="s">
        <v>2</v>
      </c>
      <c r="C2" s="298" t="s">
        <v>0</v>
      </c>
      <c r="D2" s="299" t="s">
        <v>1</v>
      </c>
      <c r="E2" s="299" t="s">
        <v>464</v>
      </c>
      <c r="F2" s="572" t="s">
        <v>577</v>
      </c>
    </row>
    <row r="3" spans="1:6" x14ac:dyDescent="0.25">
      <c r="A3" s="297" t="s">
        <v>637</v>
      </c>
      <c r="B3" s="180" t="s">
        <v>631</v>
      </c>
      <c r="C3" s="2" t="str">
        <f>"619216781544"</f>
        <v>619216781544</v>
      </c>
      <c r="D3" s="2">
        <v>3.82</v>
      </c>
      <c r="E3" s="301" t="s">
        <v>419</v>
      </c>
      <c r="F3" s="2" t="s">
        <v>581</v>
      </c>
    </row>
    <row r="4" spans="1:6" x14ac:dyDescent="0.25">
      <c r="A4" s="297" t="s">
        <v>637</v>
      </c>
      <c r="B4" s="2" t="s">
        <v>633</v>
      </c>
      <c r="C4" s="2" t="str">
        <f>"619216781542"</f>
        <v>619216781542</v>
      </c>
      <c r="D4" s="2">
        <v>4</v>
      </c>
      <c r="E4" s="226" t="s">
        <v>420</v>
      </c>
      <c r="F4" s="2" t="s">
        <v>586</v>
      </c>
    </row>
    <row r="5" spans="1:6" x14ac:dyDescent="0.25">
      <c r="A5" s="297" t="s">
        <v>637</v>
      </c>
      <c r="B5" s="2" t="s">
        <v>636</v>
      </c>
      <c r="C5" s="2" t="str">
        <f>"619216781541"</f>
        <v>619216781541</v>
      </c>
      <c r="D5" s="2">
        <v>3.56</v>
      </c>
      <c r="E5" s="301" t="s">
        <v>419</v>
      </c>
      <c r="F5" s="2" t="s">
        <v>579</v>
      </c>
    </row>
    <row r="6" spans="1:6" x14ac:dyDescent="0.25">
      <c r="A6" s="297" t="s">
        <v>637</v>
      </c>
      <c r="B6" s="2" t="s">
        <v>636</v>
      </c>
      <c r="C6" s="2" t="str">
        <f>"619216781540"</f>
        <v>619216781540</v>
      </c>
      <c r="D6" s="2">
        <v>4.5199999999999996</v>
      </c>
      <c r="E6" s="301" t="s">
        <v>419</v>
      </c>
      <c r="F6" s="2" t="s">
        <v>578</v>
      </c>
    </row>
    <row r="7" spans="1:6" x14ac:dyDescent="0.25">
      <c r="A7" s="297" t="s">
        <v>637</v>
      </c>
      <c r="B7" s="2" t="s">
        <v>635</v>
      </c>
      <c r="C7" s="2" t="str">
        <f>"619216781539"</f>
        <v>619216781539</v>
      </c>
      <c r="D7" s="2">
        <v>3.18</v>
      </c>
      <c r="E7" s="226" t="s">
        <v>420</v>
      </c>
      <c r="F7" s="2" t="s">
        <v>580</v>
      </c>
    </row>
    <row r="8" spans="1:6" x14ac:dyDescent="0.25">
      <c r="A8" s="297" t="s">
        <v>637</v>
      </c>
      <c r="B8" s="2" t="s">
        <v>635</v>
      </c>
      <c r="C8" s="2" t="str">
        <f>"619216781538"</f>
        <v>619216781538</v>
      </c>
      <c r="D8" s="2">
        <v>3.82</v>
      </c>
      <c r="E8" s="226" t="s">
        <v>420</v>
      </c>
      <c r="F8" s="2" t="s">
        <v>579</v>
      </c>
    </row>
    <row r="9" spans="1:6" x14ac:dyDescent="0.25">
      <c r="A9" s="297" t="s">
        <v>637</v>
      </c>
      <c r="B9" s="2" t="s">
        <v>635</v>
      </c>
      <c r="C9" s="2" t="str">
        <f>"619216781537"</f>
        <v>619216781537</v>
      </c>
      <c r="D9" s="2">
        <v>4.12</v>
      </c>
      <c r="E9" s="301" t="s">
        <v>419</v>
      </c>
      <c r="F9" s="2" t="s">
        <v>578</v>
      </c>
    </row>
    <row r="10" spans="1:6" x14ac:dyDescent="0.25">
      <c r="A10" s="297" t="s">
        <v>637</v>
      </c>
      <c r="B10" s="2" t="s">
        <v>634</v>
      </c>
      <c r="C10" s="2" t="str">
        <f>"619216781536"</f>
        <v>619216781536</v>
      </c>
      <c r="D10" s="2">
        <v>2.96</v>
      </c>
      <c r="E10" s="226" t="s">
        <v>420</v>
      </c>
      <c r="F10" s="2" t="s">
        <v>583</v>
      </c>
    </row>
    <row r="11" spans="1:6" x14ac:dyDescent="0.25">
      <c r="A11" s="297" t="s">
        <v>637</v>
      </c>
      <c r="B11" s="2" t="s">
        <v>634</v>
      </c>
      <c r="C11" s="2" t="str">
        <f>"619216781535"</f>
        <v>619216781535</v>
      </c>
      <c r="D11" s="2">
        <v>3.26</v>
      </c>
      <c r="E11" s="226" t="s">
        <v>420</v>
      </c>
      <c r="F11" s="2" t="s">
        <v>582</v>
      </c>
    </row>
    <row r="12" spans="1:6" x14ac:dyDescent="0.25">
      <c r="A12" s="297" t="s">
        <v>637</v>
      </c>
      <c r="B12" s="2" t="s">
        <v>634</v>
      </c>
      <c r="C12" s="2" t="str">
        <f>"619216781534"</f>
        <v>619216781534</v>
      </c>
      <c r="D12" s="2">
        <v>3.52</v>
      </c>
      <c r="E12" s="301" t="s">
        <v>419</v>
      </c>
      <c r="F12" s="2" t="s">
        <v>581</v>
      </c>
    </row>
    <row r="13" spans="1:6" x14ac:dyDescent="0.25">
      <c r="A13" s="297" t="s">
        <v>637</v>
      </c>
      <c r="B13" s="2" t="s">
        <v>634</v>
      </c>
      <c r="C13" s="2" t="str">
        <f>"619216781533"</f>
        <v>619216781533</v>
      </c>
      <c r="D13" s="2">
        <v>3.68</v>
      </c>
      <c r="E13" s="301" t="s">
        <v>419</v>
      </c>
      <c r="F13" s="2" t="s">
        <v>580</v>
      </c>
    </row>
    <row r="14" spans="1:6" x14ac:dyDescent="0.25">
      <c r="A14" s="297" t="s">
        <v>637</v>
      </c>
      <c r="B14" s="2" t="s">
        <v>634</v>
      </c>
      <c r="C14" s="2" t="str">
        <f>"619216781532"</f>
        <v>619216781532</v>
      </c>
      <c r="D14" s="2">
        <v>3.82</v>
      </c>
      <c r="E14" s="301" t="s">
        <v>419</v>
      </c>
      <c r="F14" s="2" t="s">
        <v>579</v>
      </c>
    </row>
    <row r="15" spans="1:6" x14ac:dyDescent="0.25">
      <c r="A15" s="297" t="s">
        <v>637</v>
      </c>
      <c r="B15" s="2" t="s">
        <v>634</v>
      </c>
      <c r="C15" s="2" t="str">
        <f>"619216781531"</f>
        <v>619216781531</v>
      </c>
      <c r="D15" s="2">
        <v>4.22</v>
      </c>
      <c r="E15" s="301" t="s">
        <v>419</v>
      </c>
      <c r="F15" s="2" t="s">
        <v>578</v>
      </c>
    </row>
    <row r="16" spans="1:6" x14ac:dyDescent="0.25">
      <c r="A16" s="297" t="s">
        <v>637</v>
      </c>
      <c r="B16" s="2" t="s">
        <v>633</v>
      </c>
      <c r="C16" s="2" t="str">
        <f>"619216781530"</f>
        <v>619216781530</v>
      </c>
      <c r="D16" s="2">
        <v>2.2799999999999998</v>
      </c>
      <c r="E16" s="226" t="s">
        <v>420</v>
      </c>
      <c r="F16" s="2" t="s">
        <v>595</v>
      </c>
    </row>
    <row r="17" spans="1:6" x14ac:dyDescent="0.25">
      <c r="A17" s="297" t="s">
        <v>637</v>
      </c>
      <c r="B17" s="2" t="s">
        <v>633</v>
      </c>
      <c r="C17" s="2" t="str">
        <f>"619216781529"</f>
        <v>619216781529</v>
      </c>
      <c r="D17" s="2">
        <v>2.7</v>
      </c>
      <c r="E17" s="226" t="s">
        <v>420</v>
      </c>
      <c r="F17" s="2" t="s">
        <v>594</v>
      </c>
    </row>
    <row r="18" spans="1:6" x14ac:dyDescent="0.25">
      <c r="A18" s="297" t="s">
        <v>637</v>
      </c>
      <c r="B18" s="2" t="s">
        <v>633</v>
      </c>
      <c r="C18" s="2" t="str">
        <f>"619216781528"</f>
        <v>619216781528</v>
      </c>
      <c r="D18" s="2">
        <v>2.78</v>
      </c>
      <c r="E18" s="226" t="s">
        <v>420</v>
      </c>
      <c r="F18" s="2" t="s">
        <v>593</v>
      </c>
    </row>
    <row r="19" spans="1:6" x14ac:dyDescent="0.25">
      <c r="A19" s="297" t="s">
        <v>637</v>
      </c>
      <c r="B19" s="2" t="s">
        <v>633</v>
      </c>
      <c r="C19" s="2" t="str">
        <f>"619216781527"</f>
        <v>619216781527</v>
      </c>
      <c r="D19" s="2">
        <v>3.08</v>
      </c>
      <c r="E19" s="226" t="s">
        <v>420</v>
      </c>
      <c r="F19" s="2" t="s">
        <v>592</v>
      </c>
    </row>
    <row r="20" spans="1:6" x14ac:dyDescent="0.25">
      <c r="A20" s="297" t="s">
        <v>637</v>
      </c>
      <c r="B20" s="2" t="s">
        <v>633</v>
      </c>
      <c r="C20" s="2" t="str">
        <f>"619216781526"</f>
        <v>619216781526</v>
      </c>
      <c r="D20" s="2">
        <v>3.48</v>
      </c>
      <c r="E20" s="226" t="s">
        <v>420</v>
      </c>
      <c r="F20" s="2" t="s">
        <v>591</v>
      </c>
    </row>
    <row r="21" spans="1:6" x14ac:dyDescent="0.25">
      <c r="A21" s="297" t="s">
        <v>637</v>
      </c>
      <c r="B21" s="2" t="s">
        <v>633</v>
      </c>
      <c r="C21" s="2" t="str">
        <f>"619216781525"</f>
        <v>619216781525</v>
      </c>
      <c r="D21" s="2">
        <v>3.72</v>
      </c>
      <c r="E21" s="226" t="s">
        <v>420</v>
      </c>
      <c r="F21" s="2" t="s">
        <v>590</v>
      </c>
    </row>
    <row r="22" spans="1:6" x14ac:dyDescent="0.25">
      <c r="A22" s="297" t="s">
        <v>637</v>
      </c>
      <c r="B22" s="2" t="s">
        <v>633</v>
      </c>
      <c r="C22" s="2" t="str">
        <f>"619216781524"</f>
        <v>619216781524</v>
      </c>
      <c r="D22" s="2">
        <v>3.8</v>
      </c>
      <c r="E22" s="226" t="s">
        <v>420</v>
      </c>
      <c r="F22" s="2" t="s">
        <v>589</v>
      </c>
    </row>
    <row r="23" spans="1:6" x14ac:dyDescent="0.25">
      <c r="A23" s="297" t="s">
        <v>637</v>
      </c>
      <c r="B23" s="2" t="s">
        <v>633</v>
      </c>
      <c r="C23" s="2" t="str">
        <f>"619216781523"</f>
        <v>619216781523</v>
      </c>
      <c r="D23" s="2">
        <v>3.82</v>
      </c>
      <c r="E23" s="226" t="s">
        <v>420</v>
      </c>
      <c r="F23" s="2" t="s">
        <v>588</v>
      </c>
    </row>
    <row r="24" spans="1:6" x14ac:dyDescent="0.25">
      <c r="A24" s="297" t="s">
        <v>637</v>
      </c>
      <c r="B24" s="2" t="s">
        <v>633</v>
      </c>
      <c r="C24" s="2" t="str">
        <f>"619216781522"</f>
        <v>619216781522</v>
      </c>
      <c r="D24" s="2">
        <v>3.9</v>
      </c>
      <c r="E24" s="226" t="s">
        <v>420</v>
      </c>
      <c r="F24" s="2" t="s">
        <v>587</v>
      </c>
    </row>
    <row r="25" spans="1:6" x14ac:dyDescent="0.25">
      <c r="A25" s="297" t="s">
        <v>637</v>
      </c>
      <c r="B25" s="2" t="s">
        <v>633</v>
      </c>
      <c r="C25" s="2" t="str">
        <f>"619216781520"</f>
        <v>619216781520</v>
      </c>
      <c r="D25" s="2">
        <v>4.04</v>
      </c>
      <c r="E25" s="226" t="s">
        <v>420</v>
      </c>
      <c r="F25" s="26" t="s">
        <v>585</v>
      </c>
    </row>
    <row r="26" spans="1:6" x14ac:dyDescent="0.25">
      <c r="A26" s="297" t="s">
        <v>637</v>
      </c>
      <c r="B26" s="2" t="s">
        <v>633</v>
      </c>
      <c r="C26" s="2" t="str">
        <f>"619216781519"</f>
        <v>619216781519</v>
      </c>
      <c r="D26" s="2">
        <v>4.32</v>
      </c>
      <c r="E26" s="226" t="s">
        <v>420</v>
      </c>
      <c r="F26" s="26" t="s">
        <v>584</v>
      </c>
    </row>
    <row r="27" spans="1:6" x14ac:dyDescent="0.25">
      <c r="A27" s="297" t="s">
        <v>637</v>
      </c>
      <c r="B27" s="2" t="s">
        <v>633</v>
      </c>
      <c r="C27" s="2" t="str">
        <f>"619216781518"</f>
        <v>619216781518</v>
      </c>
      <c r="D27" s="2">
        <v>4.32</v>
      </c>
      <c r="E27" s="226" t="s">
        <v>420</v>
      </c>
      <c r="F27" s="26" t="s">
        <v>583</v>
      </c>
    </row>
    <row r="28" spans="1:6" x14ac:dyDescent="0.25">
      <c r="A28" s="297" t="s">
        <v>637</v>
      </c>
      <c r="B28" s="2" t="s">
        <v>633</v>
      </c>
      <c r="C28" s="2" t="str">
        <f>"619216781517"</f>
        <v>619216781517</v>
      </c>
      <c r="D28" s="2">
        <v>4.54</v>
      </c>
      <c r="E28" s="301" t="s">
        <v>419</v>
      </c>
      <c r="F28" s="2" t="s">
        <v>580</v>
      </c>
    </row>
    <row r="29" spans="1:6" x14ac:dyDescent="0.25">
      <c r="A29" s="297" t="s">
        <v>637</v>
      </c>
      <c r="B29" s="2" t="s">
        <v>633</v>
      </c>
      <c r="C29" s="2" t="str">
        <f>"619216781516"</f>
        <v>619216781516</v>
      </c>
      <c r="D29" s="2">
        <v>4.3600000000000003</v>
      </c>
      <c r="E29" s="301" t="s">
        <v>419</v>
      </c>
      <c r="F29" s="2" t="s">
        <v>582</v>
      </c>
    </row>
    <row r="30" spans="1:6" x14ac:dyDescent="0.25">
      <c r="A30" s="297" t="s">
        <v>637</v>
      </c>
      <c r="B30" s="2" t="s">
        <v>633</v>
      </c>
      <c r="C30" s="2" t="str">
        <f>"619216781515"</f>
        <v>619216781515</v>
      </c>
      <c r="D30" s="2">
        <v>4.42</v>
      </c>
      <c r="E30" s="301" t="s">
        <v>419</v>
      </c>
      <c r="F30" s="2" t="s">
        <v>581</v>
      </c>
    </row>
    <row r="31" spans="1:6" x14ac:dyDescent="0.25">
      <c r="A31" s="297" t="s">
        <v>637</v>
      </c>
      <c r="B31" s="2" t="s">
        <v>633</v>
      </c>
      <c r="C31" s="2" t="str">
        <f>"619216781514"</f>
        <v>619216781514</v>
      </c>
      <c r="D31" s="2">
        <v>4.5599999999999996</v>
      </c>
      <c r="E31" s="301" t="s">
        <v>419</v>
      </c>
      <c r="F31" s="2" t="s">
        <v>579</v>
      </c>
    </row>
    <row r="32" spans="1:6" x14ac:dyDescent="0.25">
      <c r="A32" s="297" t="s">
        <v>637</v>
      </c>
      <c r="B32" s="2" t="s">
        <v>633</v>
      </c>
      <c r="C32" s="2" t="str">
        <f>"619216781513"</f>
        <v>619216781513</v>
      </c>
      <c r="D32" s="2">
        <v>4.58</v>
      </c>
      <c r="E32" s="301" t="s">
        <v>419</v>
      </c>
      <c r="F32" s="2" t="s">
        <v>578</v>
      </c>
    </row>
    <row r="33" spans="1:6" x14ac:dyDescent="0.25">
      <c r="A33" s="297" t="s">
        <v>637</v>
      </c>
      <c r="B33" s="300" t="s">
        <v>632</v>
      </c>
      <c r="C33" s="2" t="str">
        <f>"619216781512"</f>
        <v>619216781512</v>
      </c>
      <c r="D33" s="2">
        <v>2.54</v>
      </c>
      <c r="E33" s="226" t="s">
        <v>420</v>
      </c>
      <c r="F33" s="2" t="s">
        <v>588</v>
      </c>
    </row>
    <row r="34" spans="1:6" x14ac:dyDescent="0.25">
      <c r="A34" s="297" t="s">
        <v>637</v>
      </c>
      <c r="B34" s="300" t="s">
        <v>632</v>
      </c>
      <c r="C34" s="2" t="str">
        <f>"619216781511"</f>
        <v>619216781511</v>
      </c>
      <c r="D34" s="2">
        <v>2.74</v>
      </c>
      <c r="E34" s="226" t="s">
        <v>420</v>
      </c>
      <c r="F34" s="2" t="s">
        <v>587</v>
      </c>
    </row>
    <row r="35" spans="1:6" x14ac:dyDescent="0.25">
      <c r="A35" s="297" t="s">
        <v>637</v>
      </c>
      <c r="B35" s="300" t="s">
        <v>632</v>
      </c>
      <c r="C35" s="2" t="str">
        <f>"619216781510"</f>
        <v>619216781510</v>
      </c>
      <c r="D35" s="2">
        <v>2.8</v>
      </c>
      <c r="E35" s="226" t="s">
        <v>420</v>
      </c>
      <c r="F35" s="2" t="s">
        <v>586</v>
      </c>
    </row>
    <row r="36" spans="1:6" x14ac:dyDescent="0.25">
      <c r="A36" s="297" t="s">
        <v>637</v>
      </c>
      <c r="B36" s="300" t="s">
        <v>632</v>
      </c>
      <c r="C36" s="2" t="str">
        <f>"619216781509"</f>
        <v>619216781509</v>
      </c>
      <c r="D36" s="2">
        <v>2.82</v>
      </c>
      <c r="E36" s="226" t="s">
        <v>420</v>
      </c>
      <c r="F36" s="2" t="s">
        <v>585</v>
      </c>
    </row>
    <row r="37" spans="1:6" x14ac:dyDescent="0.25">
      <c r="A37" s="297" t="s">
        <v>637</v>
      </c>
      <c r="B37" s="300" t="s">
        <v>632</v>
      </c>
      <c r="C37" s="2" t="str">
        <f>"619216781508"</f>
        <v>619216781508</v>
      </c>
      <c r="D37" s="2">
        <v>2.98</v>
      </c>
      <c r="E37" s="226" t="s">
        <v>420</v>
      </c>
      <c r="F37" s="2" t="s">
        <v>584</v>
      </c>
    </row>
    <row r="38" spans="1:6" x14ac:dyDescent="0.25">
      <c r="A38" s="297" t="s">
        <v>637</v>
      </c>
      <c r="B38" s="300" t="s">
        <v>632</v>
      </c>
      <c r="C38" s="2" t="str">
        <f>"619216781507"</f>
        <v>619216781507</v>
      </c>
      <c r="D38" s="2">
        <v>3.18</v>
      </c>
      <c r="E38" s="226" t="s">
        <v>420</v>
      </c>
      <c r="F38" s="2" t="s">
        <v>583</v>
      </c>
    </row>
    <row r="39" spans="1:6" x14ac:dyDescent="0.25">
      <c r="A39" s="297" t="s">
        <v>637</v>
      </c>
      <c r="B39" s="300" t="s">
        <v>632</v>
      </c>
      <c r="C39" s="2" t="str">
        <f>"619216781506"</f>
        <v>619216781506</v>
      </c>
      <c r="D39" s="2">
        <v>3.24</v>
      </c>
      <c r="E39" s="301" t="s">
        <v>419</v>
      </c>
      <c r="F39" s="2" t="s">
        <v>582</v>
      </c>
    </row>
    <row r="40" spans="1:6" x14ac:dyDescent="0.25">
      <c r="A40" s="297" t="s">
        <v>637</v>
      </c>
      <c r="B40" s="300" t="s">
        <v>632</v>
      </c>
      <c r="C40" s="2" t="str">
        <f>"619216781505"</f>
        <v>619216781505</v>
      </c>
      <c r="D40" s="2">
        <v>3.42</v>
      </c>
      <c r="E40" s="301" t="s">
        <v>419</v>
      </c>
      <c r="F40" s="2" t="s">
        <v>581</v>
      </c>
    </row>
    <row r="41" spans="1:6" x14ac:dyDescent="0.25">
      <c r="A41" s="297" t="s">
        <v>637</v>
      </c>
      <c r="B41" s="300" t="s">
        <v>632</v>
      </c>
      <c r="C41" s="2" t="str">
        <f>"619216781504"</f>
        <v>619216781504</v>
      </c>
      <c r="D41" s="2">
        <v>3.98</v>
      </c>
      <c r="E41" s="301" t="s">
        <v>419</v>
      </c>
      <c r="F41" s="2" t="s">
        <v>580</v>
      </c>
    </row>
    <row r="42" spans="1:6" x14ac:dyDescent="0.25">
      <c r="A42" s="297" t="s">
        <v>637</v>
      </c>
      <c r="B42" s="300" t="s">
        <v>632</v>
      </c>
      <c r="C42" s="2" t="str">
        <f>"619216781503"</f>
        <v>619216781503</v>
      </c>
      <c r="D42" s="2">
        <v>4.18</v>
      </c>
      <c r="E42" s="301" t="s">
        <v>419</v>
      </c>
      <c r="F42" s="2" t="s">
        <v>579</v>
      </c>
    </row>
    <row r="43" spans="1:6" x14ac:dyDescent="0.25">
      <c r="A43" s="297" t="s">
        <v>637</v>
      </c>
      <c r="B43" s="300" t="s">
        <v>632</v>
      </c>
      <c r="C43" s="2" t="str">
        <f>"619216781502"</f>
        <v>619216781502</v>
      </c>
      <c r="D43" s="2">
        <v>4.26</v>
      </c>
      <c r="E43" s="301" t="s">
        <v>419</v>
      </c>
      <c r="F43" s="2" t="s">
        <v>578</v>
      </c>
    </row>
    <row r="44" spans="1:6" x14ac:dyDescent="0.25">
      <c r="A44" s="297" t="s">
        <v>637</v>
      </c>
      <c r="B44" s="1" t="s">
        <v>631</v>
      </c>
      <c r="C44" s="2" t="str">
        <f>"619216781501"</f>
        <v>619216781501</v>
      </c>
      <c r="D44" s="2">
        <v>2.84</v>
      </c>
      <c r="E44" s="226" t="s">
        <v>420</v>
      </c>
      <c r="F44" s="2" t="s">
        <v>594</v>
      </c>
    </row>
    <row r="45" spans="1:6" x14ac:dyDescent="0.25">
      <c r="A45" s="297" t="s">
        <v>637</v>
      </c>
      <c r="B45" s="1" t="s">
        <v>631</v>
      </c>
      <c r="C45" s="2" t="str">
        <f>"619216781500"</f>
        <v>619216781500</v>
      </c>
      <c r="D45" s="2">
        <v>2.94</v>
      </c>
      <c r="E45" s="226" t="s">
        <v>420</v>
      </c>
      <c r="F45" s="2" t="s">
        <v>593</v>
      </c>
    </row>
    <row r="46" spans="1:6" x14ac:dyDescent="0.25">
      <c r="A46" s="297" t="s">
        <v>637</v>
      </c>
      <c r="B46" s="1" t="s">
        <v>631</v>
      </c>
      <c r="C46" s="2" t="str">
        <f>"619216781499"</f>
        <v>619216781499</v>
      </c>
      <c r="D46" s="2">
        <v>2.94</v>
      </c>
      <c r="E46" s="226" t="s">
        <v>420</v>
      </c>
      <c r="F46" s="2" t="s">
        <v>592</v>
      </c>
    </row>
    <row r="47" spans="1:6" x14ac:dyDescent="0.25">
      <c r="A47" s="297" t="s">
        <v>637</v>
      </c>
      <c r="B47" s="1" t="s">
        <v>631</v>
      </c>
      <c r="C47" s="2" t="str">
        <f>"619216781498"</f>
        <v>619216781498</v>
      </c>
      <c r="D47" s="2">
        <v>2.96</v>
      </c>
      <c r="E47" s="226" t="s">
        <v>420</v>
      </c>
      <c r="F47" s="2" t="s">
        <v>591</v>
      </c>
    </row>
    <row r="48" spans="1:6" x14ac:dyDescent="0.25">
      <c r="A48" s="297" t="s">
        <v>637</v>
      </c>
      <c r="B48" s="1" t="s">
        <v>631</v>
      </c>
      <c r="C48" s="2" t="str">
        <f>"619216781497"</f>
        <v>619216781497</v>
      </c>
      <c r="D48" s="2">
        <v>2.96</v>
      </c>
      <c r="E48" s="226" t="s">
        <v>420</v>
      </c>
      <c r="F48" s="2" t="s">
        <v>590</v>
      </c>
    </row>
    <row r="49" spans="1:6" x14ac:dyDescent="0.25">
      <c r="A49" s="297" t="s">
        <v>637</v>
      </c>
      <c r="B49" s="1" t="s">
        <v>631</v>
      </c>
      <c r="C49" s="2" t="str">
        <f>"619216781496"</f>
        <v>619216781496</v>
      </c>
      <c r="D49" s="2">
        <v>2.98</v>
      </c>
      <c r="E49" s="226" t="s">
        <v>420</v>
      </c>
      <c r="F49" s="2" t="s">
        <v>589</v>
      </c>
    </row>
    <row r="50" spans="1:6" x14ac:dyDescent="0.25">
      <c r="A50" s="297" t="s">
        <v>637</v>
      </c>
      <c r="B50" s="1" t="s">
        <v>631</v>
      </c>
      <c r="C50" s="2" t="str">
        <f>"619216781495"</f>
        <v>619216781495</v>
      </c>
      <c r="D50" s="2">
        <v>3.12</v>
      </c>
      <c r="E50" s="226" t="s">
        <v>420</v>
      </c>
      <c r="F50" s="2" t="s">
        <v>588</v>
      </c>
    </row>
    <row r="51" spans="1:6" x14ac:dyDescent="0.25">
      <c r="A51" s="297" t="s">
        <v>637</v>
      </c>
      <c r="B51" s="1" t="s">
        <v>631</v>
      </c>
      <c r="C51" s="2" t="str">
        <f>"619216781494"</f>
        <v>619216781494</v>
      </c>
      <c r="D51" s="2">
        <v>3.16</v>
      </c>
      <c r="E51" s="226" t="s">
        <v>420</v>
      </c>
      <c r="F51" s="2" t="s">
        <v>587</v>
      </c>
    </row>
    <row r="52" spans="1:6" x14ac:dyDescent="0.25">
      <c r="A52" s="297" t="s">
        <v>637</v>
      </c>
      <c r="B52" s="1" t="s">
        <v>631</v>
      </c>
      <c r="C52" s="2" t="str">
        <f>"619216781493"</f>
        <v>619216781493</v>
      </c>
      <c r="D52" s="2">
        <v>3.32</v>
      </c>
      <c r="E52" s="226" t="s">
        <v>420</v>
      </c>
      <c r="F52" s="2" t="s">
        <v>586</v>
      </c>
    </row>
    <row r="53" spans="1:6" x14ac:dyDescent="0.25">
      <c r="A53" s="297" t="s">
        <v>637</v>
      </c>
      <c r="B53" s="1" t="s">
        <v>631</v>
      </c>
      <c r="C53" s="2" t="str">
        <f>"619216781492"</f>
        <v>619216781492</v>
      </c>
      <c r="D53" s="2">
        <v>3.52</v>
      </c>
      <c r="E53" s="226" t="s">
        <v>420</v>
      </c>
      <c r="F53" s="2" t="s">
        <v>585</v>
      </c>
    </row>
    <row r="54" spans="1:6" x14ac:dyDescent="0.25">
      <c r="A54" s="297" t="s">
        <v>637</v>
      </c>
      <c r="B54" s="1" t="s">
        <v>631</v>
      </c>
      <c r="C54" s="2" t="str">
        <f>"619216781491"</f>
        <v>619216781491</v>
      </c>
      <c r="D54" s="2">
        <v>3.54</v>
      </c>
      <c r="E54" s="301" t="s">
        <v>419</v>
      </c>
      <c r="F54" s="2" t="s">
        <v>584</v>
      </c>
    </row>
    <row r="55" spans="1:6" x14ac:dyDescent="0.25">
      <c r="A55" s="297" t="s">
        <v>637</v>
      </c>
      <c r="B55" s="1" t="s">
        <v>631</v>
      </c>
      <c r="C55" s="2" t="str">
        <f>"619216781490"</f>
        <v>619216781490</v>
      </c>
      <c r="D55" s="2">
        <v>3.54</v>
      </c>
      <c r="E55" s="301" t="s">
        <v>419</v>
      </c>
      <c r="F55" s="2" t="s">
        <v>583</v>
      </c>
    </row>
    <row r="56" spans="1:6" x14ac:dyDescent="0.25">
      <c r="A56" s="297" t="s">
        <v>637</v>
      </c>
      <c r="B56" s="1" t="s">
        <v>631</v>
      </c>
      <c r="C56" s="2" t="str">
        <f>"619216781489"</f>
        <v>619216781489</v>
      </c>
      <c r="D56" s="2">
        <v>3.98</v>
      </c>
      <c r="E56" s="301" t="s">
        <v>419</v>
      </c>
      <c r="F56" s="2" t="s">
        <v>582</v>
      </c>
    </row>
    <row r="57" spans="1:6" x14ac:dyDescent="0.25">
      <c r="A57" s="297" t="s">
        <v>637</v>
      </c>
      <c r="B57" s="1" t="s">
        <v>631</v>
      </c>
      <c r="C57" s="2" t="str">
        <f>"619216371488"</f>
        <v>619216371488</v>
      </c>
      <c r="D57" s="2">
        <v>4.08</v>
      </c>
      <c r="E57" s="301" t="s">
        <v>419</v>
      </c>
      <c r="F57" s="2" t="s">
        <v>580</v>
      </c>
    </row>
    <row r="58" spans="1:6" x14ac:dyDescent="0.25">
      <c r="A58" s="297" t="s">
        <v>637</v>
      </c>
      <c r="B58" s="1" t="s">
        <v>631</v>
      </c>
      <c r="C58" s="2" t="str">
        <f>"619216781487"</f>
        <v>619216781487</v>
      </c>
      <c r="D58" s="2">
        <v>4.42</v>
      </c>
      <c r="E58" s="301" t="s">
        <v>419</v>
      </c>
      <c r="F58" s="2" t="s">
        <v>579</v>
      </c>
    </row>
    <row r="59" spans="1:6" ht="15.75" thickBot="1" x14ac:dyDescent="0.3">
      <c r="A59" s="521" t="s">
        <v>637</v>
      </c>
      <c r="B59" s="62" t="s">
        <v>631</v>
      </c>
      <c r="C59" s="51" t="str">
        <f>"619216781486"</f>
        <v>619216781486</v>
      </c>
      <c r="D59" s="51">
        <v>4.4400000000000004</v>
      </c>
      <c r="E59" s="522" t="s">
        <v>419</v>
      </c>
      <c r="F59" s="51" t="s">
        <v>578</v>
      </c>
    </row>
    <row r="60" spans="1:6" x14ac:dyDescent="0.25">
      <c r="A60" s="524" t="s">
        <v>930</v>
      </c>
      <c r="B60" s="525" t="s">
        <v>631</v>
      </c>
      <c r="C60" s="86" t="s">
        <v>931</v>
      </c>
      <c r="D60" s="86">
        <v>4.3600000000000003</v>
      </c>
      <c r="E60" s="526" t="s">
        <v>419</v>
      </c>
      <c r="F60" s="86" t="s">
        <v>578</v>
      </c>
    </row>
    <row r="61" spans="1:6" x14ac:dyDescent="0.25">
      <c r="A61" s="523" t="s">
        <v>930</v>
      </c>
      <c r="B61" s="256" t="s">
        <v>631</v>
      </c>
      <c r="C61" s="2" t="s">
        <v>932</v>
      </c>
      <c r="D61" s="2">
        <v>4.08</v>
      </c>
      <c r="E61" s="301" t="s">
        <v>419</v>
      </c>
      <c r="F61" s="2" t="s">
        <v>579</v>
      </c>
    </row>
    <row r="62" spans="1:6" x14ac:dyDescent="0.25">
      <c r="A62" s="523" t="s">
        <v>930</v>
      </c>
      <c r="B62" s="256" t="s">
        <v>631</v>
      </c>
      <c r="C62" s="2" t="s">
        <v>933</v>
      </c>
      <c r="D62" s="2">
        <v>4</v>
      </c>
      <c r="E62" s="301" t="s">
        <v>419</v>
      </c>
      <c r="F62" s="2" t="s">
        <v>580</v>
      </c>
    </row>
    <row r="63" spans="1:6" x14ac:dyDescent="0.25">
      <c r="A63" s="523" t="s">
        <v>930</v>
      </c>
      <c r="B63" s="256" t="s">
        <v>631</v>
      </c>
      <c r="C63" s="2" t="s">
        <v>934</v>
      </c>
      <c r="D63" s="2">
        <v>3.88</v>
      </c>
      <c r="E63" s="301" t="s">
        <v>419</v>
      </c>
      <c r="F63" s="2" t="s">
        <v>581</v>
      </c>
    </row>
    <row r="64" spans="1:6" x14ac:dyDescent="0.25">
      <c r="A64" s="523" t="s">
        <v>930</v>
      </c>
      <c r="B64" s="256" t="s">
        <v>631</v>
      </c>
      <c r="C64" s="2" t="s">
        <v>935</v>
      </c>
      <c r="D64" s="2">
        <v>3.22</v>
      </c>
      <c r="E64" s="301" t="s">
        <v>419</v>
      </c>
      <c r="F64" s="2" t="s">
        <v>582</v>
      </c>
    </row>
    <row r="65" spans="1:6" x14ac:dyDescent="0.25">
      <c r="A65" s="523" t="s">
        <v>930</v>
      </c>
      <c r="B65" s="256" t="s">
        <v>631</v>
      </c>
      <c r="C65" s="2" t="s">
        <v>936</v>
      </c>
      <c r="D65" s="2">
        <v>2.88</v>
      </c>
      <c r="E65" s="226" t="s">
        <v>420</v>
      </c>
      <c r="F65" s="2" t="s">
        <v>584</v>
      </c>
    </row>
    <row r="66" spans="1:6" x14ac:dyDescent="0.25">
      <c r="A66" s="523" t="s">
        <v>930</v>
      </c>
      <c r="B66" s="256" t="s">
        <v>632</v>
      </c>
      <c r="C66" s="2" t="s">
        <v>937</v>
      </c>
      <c r="D66" s="2">
        <v>3.56</v>
      </c>
      <c r="E66" s="301" t="s">
        <v>419</v>
      </c>
      <c r="F66" s="2" t="s">
        <v>578</v>
      </c>
    </row>
    <row r="67" spans="1:6" x14ac:dyDescent="0.25">
      <c r="A67" s="523" t="s">
        <v>930</v>
      </c>
      <c r="B67" s="256" t="s">
        <v>632</v>
      </c>
      <c r="C67" s="2" t="s">
        <v>938</v>
      </c>
      <c r="D67" s="2">
        <v>2.72</v>
      </c>
      <c r="E67" s="226" t="s">
        <v>420</v>
      </c>
      <c r="F67" s="2" t="s">
        <v>579</v>
      </c>
    </row>
    <row r="68" spans="1:6" x14ac:dyDescent="0.25">
      <c r="A68" s="523" t="s">
        <v>930</v>
      </c>
      <c r="B68" s="256" t="s">
        <v>632</v>
      </c>
      <c r="C68" s="2" t="s">
        <v>939</v>
      </c>
      <c r="D68" s="2">
        <v>2.64</v>
      </c>
      <c r="E68" s="226" t="s">
        <v>420</v>
      </c>
      <c r="F68" s="2" t="s">
        <v>580</v>
      </c>
    </row>
    <row r="69" spans="1:6" x14ac:dyDescent="0.25">
      <c r="A69" s="523" t="s">
        <v>930</v>
      </c>
      <c r="B69" s="256" t="s">
        <v>632</v>
      </c>
      <c r="C69" s="2" t="s">
        <v>940</v>
      </c>
      <c r="D69" s="2">
        <v>2.42</v>
      </c>
      <c r="E69" s="226" t="s">
        <v>420</v>
      </c>
      <c r="F69" s="2" t="s">
        <v>581</v>
      </c>
    </row>
    <row r="70" spans="1:6" x14ac:dyDescent="0.25">
      <c r="A70" s="523" t="s">
        <v>930</v>
      </c>
      <c r="B70" s="256" t="s">
        <v>632</v>
      </c>
      <c r="C70" s="2" t="s">
        <v>941</v>
      </c>
      <c r="D70" s="2">
        <v>2.4</v>
      </c>
      <c r="E70" s="226" t="s">
        <v>420</v>
      </c>
      <c r="F70" s="2" t="s">
        <v>582</v>
      </c>
    </row>
    <row r="71" spans="1:6" x14ac:dyDescent="0.25">
      <c r="A71" s="523" t="s">
        <v>930</v>
      </c>
      <c r="B71" s="256" t="s">
        <v>632</v>
      </c>
      <c r="C71" s="2" t="s">
        <v>942</v>
      </c>
      <c r="D71" s="2">
        <v>2.36</v>
      </c>
      <c r="E71" s="226" t="s">
        <v>420</v>
      </c>
      <c r="F71" s="2" t="s">
        <v>583</v>
      </c>
    </row>
    <row r="72" spans="1:6" x14ac:dyDescent="0.25">
      <c r="A72" s="523" t="s">
        <v>930</v>
      </c>
      <c r="B72" s="256" t="s">
        <v>633</v>
      </c>
      <c r="C72" s="2" t="s">
        <v>943</v>
      </c>
      <c r="D72" s="2">
        <v>4.8</v>
      </c>
      <c r="E72" s="301" t="s">
        <v>419</v>
      </c>
      <c r="F72" s="2" t="s">
        <v>578</v>
      </c>
    </row>
    <row r="73" spans="1:6" x14ac:dyDescent="0.25">
      <c r="A73" s="523" t="s">
        <v>930</v>
      </c>
      <c r="B73" s="256" t="s">
        <v>633</v>
      </c>
      <c r="C73" s="2" t="s">
        <v>944</v>
      </c>
      <c r="D73" s="2">
        <v>4.62</v>
      </c>
      <c r="E73" s="301" t="s">
        <v>419</v>
      </c>
      <c r="F73" s="2" t="s">
        <v>579</v>
      </c>
    </row>
    <row r="74" spans="1:6" x14ac:dyDescent="0.25">
      <c r="A74" s="523" t="s">
        <v>930</v>
      </c>
      <c r="B74" s="256" t="s">
        <v>633</v>
      </c>
      <c r="C74" s="2" t="s">
        <v>945</v>
      </c>
      <c r="D74" s="2">
        <v>4.3600000000000003</v>
      </c>
      <c r="E74" s="301" t="s">
        <v>419</v>
      </c>
      <c r="F74" s="2" t="s">
        <v>580</v>
      </c>
    </row>
    <row r="75" spans="1:6" x14ac:dyDescent="0.25">
      <c r="A75" s="523" t="s">
        <v>930</v>
      </c>
      <c r="B75" s="256" t="s">
        <v>633</v>
      </c>
      <c r="C75" s="2" t="s">
        <v>946</v>
      </c>
      <c r="D75" s="2">
        <v>4.34</v>
      </c>
      <c r="E75" s="301" t="s">
        <v>419</v>
      </c>
      <c r="F75" s="2" t="s">
        <v>581</v>
      </c>
    </row>
    <row r="76" spans="1:6" x14ac:dyDescent="0.25">
      <c r="A76" s="523" t="s">
        <v>930</v>
      </c>
      <c r="B76" s="256" t="s">
        <v>633</v>
      </c>
      <c r="C76" s="2" t="s">
        <v>947</v>
      </c>
      <c r="D76" s="2">
        <v>4.32</v>
      </c>
      <c r="E76" s="301" t="s">
        <v>419</v>
      </c>
      <c r="F76" s="2" t="s">
        <v>582</v>
      </c>
    </row>
    <row r="77" spans="1:6" x14ac:dyDescent="0.25">
      <c r="A77" s="523" t="s">
        <v>930</v>
      </c>
      <c r="B77" s="256" t="s">
        <v>633</v>
      </c>
      <c r="C77" s="2" t="s">
        <v>948</v>
      </c>
      <c r="D77" s="2">
        <v>4.3</v>
      </c>
      <c r="E77" s="301" t="s">
        <v>419</v>
      </c>
      <c r="F77" s="2" t="s">
        <v>583</v>
      </c>
    </row>
    <row r="78" spans="1:6" x14ac:dyDescent="0.25">
      <c r="A78" s="523" t="s">
        <v>930</v>
      </c>
      <c r="B78" s="256" t="s">
        <v>633</v>
      </c>
      <c r="C78" s="2" t="s">
        <v>949</v>
      </c>
      <c r="D78" s="2">
        <v>4.26</v>
      </c>
      <c r="E78" s="226" t="s">
        <v>420</v>
      </c>
      <c r="F78" s="2" t="s">
        <v>584</v>
      </c>
    </row>
    <row r="79" spans="1:6" x14ac:dyDescent="0.25">
      <c r="A79" s="523" t="s">
        <v>930</v>
      </c>
      <c r="B79" s="256" t="s">
        <v>633</v>
      </c>
      <c r="C79" s="2" t="s">
        <v>950</v>
      </c>
      <c r="D79" s="2">
        <v>4.24</v>
      </c>
      <c r="E79" s="226" t="s">
        <v>420</v>
      </c>
      <c r="F79" s="2" t="s">
        <v>585</v>
      </c>
    </row>
    <row r="80" spans="1:6" x14ac:dyDescent="0.25">
      <c r="A80" s="523" t="s">
        <v>930</v>
      </c>
      <c r="B80" s="256" t="s">
        <v>633</v>
      </c>
      <c r="C80" s="2" t="s">
        <v>951</v>
      </c>
      <c r="D80" s="2">
        <v>4.22</v>
      </c>
      <c r="E80" s="226" t="s">
        <v>420</v>
      </c>
      <c r="F80" s="2" t="s">
        <v>586</v>
      </c>
    </row>
    <row r="81" spans="1:6" x14ac:dyDescent="0.25">
      <c r="A81" s="523" t="s">
        <v>930</v>
      </c>
      <c r="B81" s="256" t="s">
        <v>633</v>
      </c>
      <c r="C81" s="2" t="s">
        <v>952</v>
      </c>
      <c r="D81" s="2">
        <v>4.12</v>
      </c>
      <c r="E81" s="226" t="s">
        <v>420</v>
      </c>
      <c r="F81" s="2" t="s">
        <v>587</v>
      </c>
    </row>
    <row r="82" spans="1:6" x14ac:dyDescent="0.25">
      <c r="A82" s="523" t="s">
        <v>930</v>
      </c>
      <c r="B82" s="256" t="s">
        <v>633</v>
      </c>
      <c r="C82" s="2" t="s">
        <v>953</v>
      </c>
      <c r="D82" s="2">
        <v>4.0999999999999996</v>
      </c>
      <c r="E82" s="226" t="s">
        <v>420</v>
      </c>
      <c r="F82" s="2" t="s">
        <v>588</v>
      </c>
    </row>
    <row r="83" spans="1:6" x14ac:dyDescent="0.25">
      <c r="A83" s="523" t="s">
        <v>930</v>
      </c>
      <c r="B83" s="256" t="s">
        <v>633</v>
      </c>
      <c r="C83" s="2" t="s">
        <v>954</v>
      </c>
      <c r="D83" s="2">
        <v>4.04</v>
      </c>
      <c r="E83" s="226" t="s">
        <v>420</v>
      </c>
      <c r="F83" s="2" t="s">
        <v>589</v>
      </c>
    </row>
    <row r="84" spans="1:6" x14ac:dyDescent="0.25">
      <c r="A84" s="523" t="s">
        <v>930</v>
      </c>
      <c r="B84" s="256" t="s">
        <v>633</v>
      </c>
      <c r="C84" s="2" t="s">
        <v>955</v>
      </c>
      <c r="D84" s="2">
        <v>4.04</v>
      </c>
      <c r="E84" s="226" t="s">
        <v>420</v>
      </c>
      <c r="F84" s="2" t="s">
        <v>590</v>
      </c>
    </row>
    <row r="85" spans="1:6" x14ac:dyDescent="0.25">
      <c r="A85" s="523" t="s">
        <v>930</v>
      </c>
      <c r="B85" s="256" t="s">
        <v>633</v>
      </c>
      <c r="C85" s="2" t="s">
        <v>956</v>
      </c>
      <c r="D85" s="2">
        <v>4</v>
      </c>
      <c r="E85" s="226" t="s">
        <v>420</v>
      </c>
      <c r="F85" s="2" t="s">
        <v>591</v>
      </c>
    </row>
    <row r="86" spans="1:6" x14ac:dyDescent="0.25">
      <c r="A86" s="523" t="s">
        <v>930</v>
      </c>
      <c r="B86" s="256" t="s">
        <v>633</v>
      </c>
      <c r="C86" s="2" t="s">
        <v>957</v>
      </c>
      <c r="D86" s="2">
        <v>4</v>
      </c>
      <c r="E86" s="226" t="s">
        <v>420</v>
      </c>
      <c r="F86" s="2" t="s">
        <v>592</v>
      </c>
    </row>
    <row r="87" spans="1:6" x14ac:dyDescent="0.25">
      <c r="A87" s="523" t="s">
        <v>930</v>
      </c>
      <c r="B87" s="256" t="s">
        <v>633</v>
      </c>
      <c r="C87" s="2" t="s">
        <v>958</v>
      </c>
      <c r="D87" s="2">
        <v>3.98</v>
      </c>
      <c r="E87" s="226" t="s">
        <v>420</v>
      </c>
      <c r="F87" s="2" t="s">
        <v>593</v>
      </c>
    </row>
    <row r="88" spans="1:6" x14ac:dyDescent="0.25">
      <c r="A88" s="523" t="s">
        <v>930</v>
      </c>
      <c r="B88" s="256" t="s">
        <v>633</v>
      </c>
      <c r="C88" s="2" t="s">
        <v>959</v>
      </c>
      <c r="D88" s="2">
        <v>3.9</v>
      </c>
      <c r="E88" s="226" t="s">
        <v>420</v>
      </c>
      <c r="F88" s="2" t="s">
        <v>594</v>
      </c>
    </row>
    <row r="89" spans="1:6" x14ac:dyDescent="0.25">
      <c r="A89" s="523" t="s">
        <v>930</v>
      </c>
      <c r="B89" s="256" t="s">
        <v>633</v>
      </c>
      <c r="C89" s="2" t="s">
        <v>960</v>
      </c>
      <c r="D89" s="2">
        <v>3.74</v>
      </c>
      <c r="E89" s="226" t="s">
        <v>420</v>
      </c>
      <c r="F89" s="2" t="s">
        <v>595</v>
      </c>
    </row>
    <row r="90" spans="1:6" x14ac:dyDescent="0.25">
      <c r="A90" s="523" t="s">
        <v>930</v>
      </c>
      <c r="B90" s="256" t="s">
        <v>633</v>
      </c>
      <c r="C90" s="2" t="s">
        <v>961</v>
      </c>
      <c r="D90" s="2">
        <v>3.6</v>
      </c>
      <c r="E90" s="226" t="s">
        <v>420</v>
      </c>
      <c r="F90" s="2" t="s">
        <v>596</v>
      </c>
    </row>
    <row r="91" spans="1:6" x14ac:dyDescent="0.25">
      <c r="A91" s="523" t="s">
        <v>930</v>
      </c>
      <c r="B91" s="256" t="s">
        <v>633</v>
      </c>
      <c r="C91" s="2" t="s">
        <v>962</v>
      </c>
      <c r="D91" s="2">
        <v>3.48</v>
      </c>
      <c r="E91" s="226" t="s">
        <v>420</v>
      </c>
      <c r="F91" s="2" t="s">
        <v>597</v>
      </c>
    </row>
    <row r="92" spans="1:6" x14ac:dyDescent="0.25">
      <c r="A92" s="523" t="s">
        <v>930</v>
      </c>
      <c r="B92" s="256" t="s">
        <v>633</v>
      </c>
      <c r="C92" s="2" t="s">
        <v>963</v>
      </c>
      <c r="D92" s="2">
        <v>3</v>
      </c>
      <c r="E92" s="226" t="s">
        <v>420</v>
      </c>
      <c r="F92" s="2" t="s">
        <v>598</v>
      </c>
    </row>
    <row r="93" spans="1:6" x14ac:dyDescent="0.25">
      <c r="A93" s="523" t="s">
        <v>930</v>
      </c>
      <c r="B93" s="256" t="s">
        <v>633</v>
      </c>
      <c r="C93" s="2" t="s">
        <v>964</v>
      </c>
      <c r="D93" s="2">
        <v>2.84</v>
      </c>
      <c r="E93" s="226" t="s">
        <v>420</v>
      </c>
      <c r="F93" s="2" t="s">
        <v>599</v>
      </c>
    </row>
    <row r="94" spans="1:6" x14ac:dyDescent="0.25">
      <c r="A94" s="523" t="s">
        <v>930</v>
      </c>
      <c r="B94" s="256" t="s">
        <v>633</v>
      </c>
      <c r="C94" s="2" t="s">
        <v>965</v>
      </c>
      <c r="D94" s="2" t="s">
        <v>967</v>
      </c>
      <c r="E94" s="226" t="s">
        <v>420</v>
      </c>
      <c r="F94" s="2"/>
    </row>
    <row r="95" spans="1:6" x14ac:dyDescent="0.25">
      <c r="A95" s="523" t="s">
        <v>930</v>
      </c>
      <c r="B95" s="256" t="s">
        <v>633</v>
      </c>
      <c r="C95" s="2" t="s">
        <v>966</v>
      </c>
      <c r="D95" s="2" t="s">
        <v>967</v>
      </c>
      <c r="E95" s="226" t="s">
        <v>420</v>
      </c>
      <c r="F95" s="2"/>
    </row>
    <row r="96" spans="1:6" x14ac:dyDescent="0.25">
      <c r="A96" s="523" t="s">
        <v>930</v>
      </c>
      <c r="B96" s="256" t="s">
        <v>634</v>
      </c>
      <c r="C96" s="2" t="s">
        <v>968</v>
      </c>
      <c r="D96" s="2">
        <v>4.5999999999999996</v>
      </c>
      <c r="E96" s="301" t="s">
        <v>419</v>
      </c>
      <c r="F96" s="2" t="s">
        <v>578</v>
      </c>
    </row>
    <row r="97" spans="1:6" x14ac:dyDescent="0.25">
      <c r="A97" s="523" t="s">
        <v>930</v>
      </c>
      <c r="B97" s="256" t="s">
        <v>634</v>
      </c>
      <c r="C97" s="2" t="s">
        <v>969</v>
      </c>
      <c r="D97" s="2">
        <v>4.54</v>
      </c>
      <c r="E97" s="301" t="s">
        <v>419</v>
      </c>
      <c r="F97" s="2" t="s">
        <v>579</v>
      </c>
    </row>
    <row r="98" spans="1:6" x14ac:dyDescent="0.25">
      <c r="A98" s="523" t="s">
        <v>930</v>
      </c>
      <c r="B98" s="256" t="s">
        <v>634</v>
      </c>
      <c r="C98" s="2" t="s">
        <v>970</v>
      </c>
      <c r="D98" s="2">
        <v>4.5</v>
      </c>
      <c r="E98" s="301" t="s">
        <v>419</v>
      </c>
      <c r="F98" s="2" t="s">
        <v>580</v>
      </c>
    </row>
    <row r="99" spans="1:6" x14ac:dyDescent="0.25">
      <c r="A99" s="523" t="s">
        <v>930</v>
      </c>
      <c r="B99" s="256" t="s">
        <v>634</v>
      </c>
      <c r="C99" s="2" t="s">
        <v>971</v>
      </c>
      <c r="D99" s="2">
        <v>4.5</v>
      </c>
      <c r="E99" s="301" t="s">
        <v>419</v>
      </c>
      <c r="F99" s="2" t="s">
        <v>581</v>
      </c>
    </row>
    <row r="100" spans="1:6" x14ac:dyDescent="0.25">
      <c r="A100" s="523" t="s">
        <v>930</v>
      </c>
      <c r="B100" s="256" t="s">
        <v>634</v>
      </c>
      <c r="C100" s="2" t="s">
        <v>972</v>
      </c>
      <c r="D100" s="2">
        <v>4.4000000000000004</v>
      </c>
      <c r="E100" s="301" t="s">
        <v>419</v>
      </c>
      <c r="F100" s="2" t="s">
        <v>582</v>
      </c>
    </row>
    <row r="101" spans="1:6" x14ac:dyDescent="0.25">
      <c r="A101" s="523" t="s">
        <v>930</v>
      </c>
      <c r="B101" s="256" t="s">
        <v>634</v>
      </c>
      <c r="C101" s="2" t="s">
        <v>973</v>
      </c>
      <c r="D101" s="2">
        <v>3.98</v>
      </c>
      <c r="E101" s="301" t="s">
        <v>419</v>
      </c>
      <c r="F101" s="2" t="s">
        <v>583</v>
      </c>
    </row>
    <row r="102" spans="1:6" x14ac:dyDescent="0.25">
      <c r="A102" s="523" t="s">
        <v>930</v>
      </c>
      <c r="B102" s="256" t="s">
        <v>634</v>
      </c>
      <c r="C102" s="2" t="s">
        <v>974</v>
      </c>
      <c r="D102" s="2">
        <v>3.94</v>
      </c>
      <c r="E102" s="301" t="s">
        <v>419</v>
      </c>
      <c r="F102" s="2" t="s">
        <v>584</v>
      </c>
    </row>
    <row r="103" spans="1:6" x14ac:dyDescent="0.25">
      <c r="A103" s="523" t="s">
        <v>930</v>
      </c>
      <c r="B103" s="256" t="s">
        <v>634</v>
      </c>
      <c r="C103" s="2" t="s">
        <v>975</v>
      </c>
      <c r="D103" s="2">
        <v>3.85</v>
      </c>
      <c r="E103" s="301" t="s">
        <v>419</v>
      </c>
      <c r="F103" s="2" t="s">
        <v>585</v>
      </c>
    </row>
    <row r="104" spans="1:6" x14ac:dyDescent="0.25">
      <c r="A104" s="523" t="s">
        <v>930</v>
      </c>
      <c r="B104" s="256" t="s">
        <v>634</v>
      </c>
      <c r="C104" s="2" t="s">
        <v>976</v>
      </c>
      <c r="D104" s="2" t="s">
        <v>967</v>
      </c>
      <c r="E104" s="226" t="s">
        <v>420</v>
      </c>
      <c r="F104" s="2"/>
    </row>
    <row r="105" spans="1:6" x14ac:dyDescent="0.25">
      <c r="A105" s="523" t="s">
        <v>930</v>
      </c>
      <c r="B105" s="256" t="s">
        <v>635</v>
      </c>
      <c r="C105" s="2" t="s">
        <v>977</v>
      </c>
      <c r="D105" s="2">
        <v>3.9</v>
      </c>
      <c r="E105" s="301" t="s">
        <v>419</v>
      </c>
      <c r="F105" s="2" t="s">
        <v>578</v>
      </c>
    </row>
    <row r="106" spans="1:6" x14ac:dyDescent="0.25">
      <c r="A106" s="523" t="s">
        <v>930</v>
      </c>
      <c r="B106" s="256" t="s">
        <v>635</v>
      </c>
      <c r="C106" s="2" t="s">
        <v>978</v>
      </c>
      <c r="D106" s="2">
        <v>2.8</v>
      </c>
      <c r="E106" s="226" t="s">
        <v>420</v>
      </c>
      <c r="F106" s="2" t="s">
        <v>579</v>
      </c>
    </row>
    <row r="107" spans="1:6" x14ac:dyDescent="0.25">
      <c r="A107" s="523" t="s">
        <v>930</v>
      </c>
      <c r="B107" s="256" t="s">
        <v>636</v>
      </c>
      <c r="C107" s="2" t="s">
        <v>979</v>
      </c>
      <c r="D107" s="2">
        <v>3.8</v>
      </c>
      <c r="E107" s="301" t="s">
        <v>419</v>
      </c>
      <c r="F107" s="2" t="s">
        <v>578</v>
      </c>
    </row>
    <row r="108" spans="1:6" ht="15.75" thickBot="1" x14ac:dyDescent="0.3">
      <c r="A108" s="527" t="s">
        <v>930</v>
      </c>
      <c r="B108" s="295" t="s">
        <v>636</v>
      </c>
      <c r="C108" s="51" t="s">
        <v>980</v>
      </c>
      <c r="D108" s="51">
        <v>3.7</v>
      </c>
      <c r="E108" s="234" t="s">
        <v>420</v>
      </c>
      <c r="F108" s="51" t="s">
        <v>579</v>
      </c>
    </row>
    <row r="109" spans="1:6" x14ac:dyDescent="0.25">
      <c r="A109" s="26" t="s">
        <v>1071</v>
      </c>
      <c r="B109" s="26" t="s">
        <v>631</v>
      </c>
      <c r="C109" s="16">
        <v>619217783134</v>
      </c>
      <c r="D109" s="12">
        <v>4.18</v>
      </c>
      <c r="E109" s="569" t="s">
        <v>419</v>
      </c>
      <c r="F109" s="16">
        <v>1</v>
      </c>
    </row>
    <row r="110" spans="1:6" x14ac:dyDescent="0.25">
      <c r="A110" s="26" t="s">
        <v>1071</v>
      </c>
      <c r="B110" s="26" t="s">
        <v>631</v>
      </c>
      <c r="C110" s="16">
        <v>619217783135</v>
      </c>
      <c r="D110" s="12">
        <v>3.96</v>
      </c>
      <c r="E110" s="569" t="s">
        <v>419</v>
      </c>
      <c r="F110" s="16">
        <v>2</v>
      </c>
    </row>
    <row r="111" spans="1:6" x14ac:dyDescent="0.25">
      <c r="A111" s="26" t="s">
        <v>1071</v>
      </c>
      <c r="B111" s="26" t="s">
        <v>631</v>
      </c>
      <c r="C111" s="16">
        <v>619217783136</v>
      </c>
      <c r="D111" s="12">
        <v>3.54</v>
      </c>
      <c r="E111" s="569" t="s">
        <v>419</v>
      </c>
      <c r="F111" s="16">
        <v>3</v>
      </c>
    </row>
    <row r="112" spans="1:6" x14ac:dyDescent="0.25">
      <c r="A112" s="26" t="s">
        <v>1071</v>
      </c>
      <c r="B112" s="26" t="s">
        <v>631</v>
      </c>
      <c r="C112" s="16">
        <v>619217783155</v>
      </c>
      <c r="D112" s="12">
        <v>2.98</v>
      </c>
      <c r="E112" s="570" t="s">
        <v>420</v>
      </c>
      <c r="F112" s="16">
        <v>4</v>
      </c>
    </row>
    <row r="113" spans="1:6" x14ac:dyDescent="0.25">
      <c r="A113" s="26" t="s">
        <v>1071</v>
      </c>
      <c r="B113" s="26" t="s">
        <v>631</v>
      </c>
      <c r="C113" s="16">
        <v>619217783156</v>
      </c>
      <c r="D113" s="12">
        <v>2.92</v>
      </c>
      <c r="E113" s="570" t="s">
        <v>420</v>
      </c>
      <c r="F113" s="16">
        <v>5</v>
      </c>
    </row>
    <row r="114" spans="1:6" x14ac:dyDescent="0.25">
      <c r="A114" s="26" t="s">
        <v>1071</v>
      </c>
      <c r="B114" s="26" t="s">
        <v>631</v>
      </c>
      <c r="C114" s="16">
        <v>619217373157</v>
      </c>
      <c r="D114" s="12">
        <v>2.76</v>
      </c>
      <c r="E114" s="570" t="s">
        <v>420</v>
      </c>
      <c r="F114" s="16">
        <v>6</v>
      </c>
    </row>
    <row r="115" spans="1:6" x14ac:dyDescent="0.25">
      <c r="A115" s="26" t="s">
        <v>1071</v>
      </c>
      <c r="B115" s="2" t="s">
        <v>632</v>
      </c>
      <c r="C115" s="16">
        <v>619217783137</v>
      </c>
      <c r="D115" s="12">
        <v>4.12</v>
      </c>
      <c r="E115" s="569" t="s">
        <v>419</v>
      </c>
      <c r="F115" s="16">
        <v>1</v>
      </c>
    </row>
    <row r="116" spans="1:6" x14ac:dyDescent="0.25">
      <c r="A116" s="26" t="s">
        <v>1071</v>
      </c>
      <c r="B116" s="2" t="s">
        <v>632</v>
      </c>
      <c r="C116" s="16">
        <v>619217783138</v>
      </c>
      <c r="D116" s="12">
        <v>3.58</v>
      </c>
      <c r="E116" s="569" t="s">
        <v>419</v>
      </c>
      <c r="F116" s="16">
        <v>2</v>
      </c>
    </row>
    <row r="117" spans="1:6" x14ac:dyDescent="0.25">
      <c r="A117" s="26" t="s">
        <v>1071</v>
      </c>
      <c r="B117" s="2" t="s">
        <v>632</v>
      </c>
      <c r="C117" s="16">
        <v>619217783139</v>
      </c>
      <c r="D117" s="12">
        <v>3.44</v>
      </c>
      <c r="E117" s="569" t="s">
        <v>419</v>
      </c>
      <c r="F117" s="16">
        <v>3</v>
      </c>
    </row>
    <row r="118" spans="1:6" x14ac:dyDescent="0.25">
      <c r="A118" s="26" t="s">
        <v>1071</v>
      </c>
      <c r="B118" s="2" t="s">
        <v>632</v>
      </c>
      <c r="C118" s="16">
        <v>619217783140</v>
      </c>
      <c r="D118" s="12">
        <v>3.34</v>
      </c>
      <c r="E118" s="569" t="s">
        <v>419</v>
      </c>
      <c r="F118" s="16">
        <v>4</v>
      </c>
    </row>
    <row r="119" spans="1:6" x14ac:dyDescent="0.25">
      <c r="A119" s="26" t="s">
        <v>1071</v>
      </c>
      <c r="B119" s="2" t="s">
        <v>632</v>
      </c>
      <c r="C119" s="16">
        <v>619217783178</v>
      </c>
      <c r="D119" s="12">
        <v>3.08</v>
      </c>
      <c r="E119" s="569" t="s">
        <v>419</v>
      </c>
      <c r="F119" s="16">
        <v>5</v>
      </c>
    </row>
    <row r="120" spans="1:6" x14ac:dyDescent="0.25">
      <c r="A120" s="26" t="s">
        <v>1071</v>
      </c>
      <c r="B120" s="2" t="s">
        <v>632</v>
      </c>
      <c r="C120" s="16">
        <v>619217783158</v>
      </c>
      <c r="D120" s="12">
        <v>2.98</v>
      </c>
      <c r="E120" s="570" t="s">
        <v>420</v>
      </c>
      <c r="F120" s="16">
        <v>6</v>
      </c>
    </row>
    <row r="121" spans="1:6" x14ac:dyDescent="0.25">
      <c r="A121" s="26" t="s">
        <v>1071</v>
      </c>
      <c r="B121" s="2" t="s">
        <v>632</v>
      </c>
      <c r="C121" s="16">
        <v>619217783159</v>
      </c>
      <c r="D121" s="12">
        <v>2.98</v>
      </c>
      <c r="E121" s="570" t="s">
        <v>420</v>
      </c>
      <c r="F121" s="16">
        <v>7</v>
      </c>
    </row>
    <row r="122" spans="1:6" x14ac:dyDescent="0.25">
      <c r="A122" s="26" t="s">
        <v>1071</v>
      </c>
      <c r="B122" s="2" t="s">
        <v>632</v>
      </c>
      <c r="C122" s="16">
        <v>619217783160</v>
      </c>
      <c r="D122" s="12">
        <v>2.96</v>
      </c>
      <c r="E122" s="570" t="s">
        <v>420</v>
      </c>
      <c r="F122" s="16">
        <v>8</v>
      </c>
    </row>
    <row r="123" spans="1:6" x14ac:dyDescent="0.25">
      <c r="A123" s="26" t="s">
        <v>1071</v>
      </c>
      <c r="B123" s="2" t="s">
        <v>632</v>
      </c>
      <c r="C123" s="16">
        <v>619217783161</v>
      </c>
      <c r="D123" s="12">
        <v>2.84</v>
      </c>
      <c r="E123" s="570" t="s">
        <v>420</v>
      </c>
      <c r="F123" s="16">
        <v>9</v>
      </c>
    </row>
    <row r="124" spans="1:6" x14ac:dyDescent="0.25">
      <c r="A124" s="26" t="s">
        <v>1071</v>
      </c>
      <c r="B124" s="26" t="s">
        <v>633</v>
      </c>
      <c r="C124" s="16">
        <v>619217783145</v>
      </c>
      <c r="D124" s="12">
        <v>4.42</v>
      </c>
      <c r="E124" s="569" t="s">
        <v>419</v>
      </c>
      <c r="F124" s="16">
        <v>1</v>
      </c>
    </row>
    <row r="125" spans="1:6" x14ac:dyDescent="0.25">
      <c r="A125" s="26" t="s">
        <v>1071</v>
      </c>
      <c r="B125" s="26" t="s">
        <v>633</v>
      </c>
      <c r="C125" s="16">
        <v>619217783146</v>
      </c>
      <c r="D125" s="12">
        <v>4.22</v>
      </c>
      <c r="E125" s="569" t="s">
        <v>419</v>
      </c>
      <c r="F125" s="16">
        <v>2</v>
      </c>
    </row>
    <row r="126" spans="1:6" x14ac:dyDescent="0.25">
      <c r="A126" s="26" t="s">
        <v>1071</v>
      </c>
      <c r="B126" s="26" t="s">
        <v>633</v>
      </c>
      <c r="C126" s="16">
        <v>619217783182</v>
      </c>
      <c r="D126" s="12">
        <v>4.18</v>
      </c>
      <c r="E126" s="569" t="s">
        <v>419</v>
      </c>
      <c r="F126" s="16">
        <v>3</v>
      </c>
    </row>
    <row r="127" spans="1:6" x14ac:dyDescent="0.25">
      <c r="A127" s="26" t="s">
        <v>1071</v>
      </c>
      <c r="B127" s="26" t="s">
        <v>633</v>
      </c>
      <c r="C127" s="16">
        <v>619217783148</v>
      </c>
      <c r="D127" s="12">
        <v>4.0599999999999996</v>
      </c>
      <c r="E127" s="569" t="s">
        <v>419</v>
      </c>
      <c r="F127" s="16">
        <v>4</v>
      </c>
    </row>
    <row r="128" spans="1:6" x14ac:dyDescent="0.25">
      <c r="A128" s="26" t="s">
        <v>1071</v>
      </c>
      <c r="B128" s="26" t="s">
        <v>633</v>
      </c>
      <c r="C128" s="16">
        <v>619217783149</v>
      </c>
      <c r="D128" s="12">
        <v>4.04</v>
      </c>
      <c r="E128" s="569" t="s">
        <v>419</v>
      </c>
      <c r="F128" s="16">
        <v>5</v>
      </c>
    </row>
    <row r="129" spans="1:6" x14ac:dyDescent="0.25">
      <c r="A129" s="26" t="s">
        <v>1071</v>
      </c>
      <c r="B129" s="26" t="s">
        <v>633</v>
      </c>
      <c r="C129" s="16">
        <v>619217783175</v>
      </c>
      <c r="D129" s="12">
        <v>3.98</v>
      </c>
      <c r="E129" s="570" t="s">
        <v>420</v>
      </c>
      <c r="F129" s="16">
        <v>6</v>
      </c>
    </row>
    <row r="130" spans="1:6" x14ac:dyDescent="0.25">
      <c r="A130" s="26" t="s">
        <v>1071</v>
      </c>
      <c r="B130" s="26" t="s">
        <v>633</v>
      </c>
      <c r="C130" s="16">
        <v>619217783162</v>
      </c>
      <c r="D130" s="12">
        <v>3.98</v>
      </c>
      <c r="E130" s="570" t="s">
        <v>420</v>
      </c>
      <c r="F130" s="16">
        <v>7</v>
      </c>
    </row>
    <row r="131" spans="1:6" x14ac:dyDescent="0.25">
      <c r="A131" s="26" t="s">
        <v>1071</v>
      </c>
      <c r="B131" s="26" t="s">
        <v>633</v>
      </c>
      <c r="C131" s="16">
        <v>619217783163</v>
      </c>
      <c r="D131" s="12">
        <v>3.72</v>
      </c>
      <c r="E131" s="570" t="s">
        <v>420</v>
      </c>
      <c r="F131" s="16">
        <v>8</v>
      </c>
    </row>
    <row r="132" spans="1:6" x14ac:dyDescent="0.25">
      <c r="A132" s="26" t="s">
        <v>1071</v>
      </c>
      <c r="B132" s="26" t="s">
        <v>633</v>
      </c>
      <c r="C132" s="16">
        <v>619217783164</v>
      </c>
      <c r="D132" s="12">
        <v>3.7</v>
      </c>
      <c r="E132" s="570" t="s">
        <v>420</v>
      </c>
      <c r="F132" s="16">
        <v>9</v>
      </c>
    </row>
    <row r="133" spans="1:6" x14ac:dyDescent="0.25">
      <c r="A133" s="26" t="s">
        <v>1071</v>
      </c>
      <c r="B133" s="26" t="s">
        <v>633</v>
      </c>
      <c r="C133" s="16">
        <v>619217783165</v>
      </c>
      <c r="D133" s="12">
        <v>3.64</v>
      </c>
      <c r="E133" s="570" t="s">
        <v>420</v>
      </c>
      <c r="F133" s="16">
        <v>10</v>
      </c>
    </row>
    <row r="134" spans="1:6" x14ac:dyDescent="0.25">
      <c r="A134" s="26" t="s">
        <v>1071</v>
      </c>
      <c r="B134" s="26" t="s">
        <v>633</v>
      </c>
      <c r="C134" s="16">
        <v>619217783181</v>
      </c>
      <c r="D134" s="12">
        <v>3.4</v>
      </c>
      <c r="E134" s="570" t="s">
        <v>420</v>
      </c>
      <c r="F134" s="16">
        <v>11</v>
      </c>
    </row>
    <row r="135" spans="1:6" x14ac:dyDescent="0.25">
      <c r="A135" s="26" t="s">
        <v>1071</v>
      </c>
      <c r="B135" s="26" t="s">
        <v>633</v>
      </c>
      <c r="C135" s="16">
        <v>619217783180</v>
      </c>
      <c r="D135" s="12">
        <v>3.18</v>
      </c>
      <c r="E135" s="570" t="s">
        <v>420</v>
      </c>
      <c r="F135" s="16">
        <v>12</v>
      </c>
    </row>
    <row r="136" spans="1:6" x14ac:dyDescent="0.25">
      <c r="A136" s="26" t="s">
        <v>1071</v>
      </c>
      <c r="B136" s="26" t="s">
        <v>633</v>
      </c>
      <c r="C136" s="16">
        <v>619217783168</v>
      </c>
      <c r="D136" s="12">
        <v>2.6</v>
      </c>
      <c r="E136" s="570" t="s">
        <v>420</v>
      </c>
      <c r="F136" s="16">
        <v>13</v>
      </c>
    </row>
    <row r="137" spans="1:6" x14ac:dyDescent="0.25">
      <c r="A137" s="26" t="s">
        <v>1071</v>
      </c>
      <c r="B137" s="26" t="s">
        <v>633</v>
      </c>
      <c r="C137" s="16">
        <v>619217783169</v>
      </c>
      <c r="D137" s="12">
        <v>2.36</v>
      </c>
      <c r="E137" s="570" t="s">
        <v>420</v>
      </c>
      <c r="F137" s="16">
        <v>14</v>
      </c>
    </row>
    <row r="138" spans="1:6" x14ac:dyDescent="0.25">
      <c r="A138" s="26" t="s">
        <v>1071</v>
      </c>
      <c r="B138" s="26" t="s">
        <v>633</v>
      </c>
      <c r="C138" s="16">
        <v>619217783170</v>
      </c>
      <c r="D138" s="12">
        <v>2.1</v>
      </c>
      <c r="E138" s="570" t="s">
        <v>420</v>
      </c>
      <c r="F138" s="16">
        <v>15</v>
      </c>
    </row>
    <row r="139" spans="1:6" x14ac:dyDescent="0.25">
      <c r="A139" s="26" t="s">
        <v>1071</v>
      </c>
      <c r="B139" s="26" t="s">
        <v>634</v>
      </c>
      <c r="C139" s="16">
        <v>619217783150</v>
      </c>
      <c r="D139" s="12">
        <v>4.38</v>
      </c>
      <c r="E139" s="569" t="s">
        <v>419</v>
      </c>
      <c r="F139" s="16">
        <v>1</v>
      </c>
    </row>
    <row r="140" spans="1:6" x14ac:dyDescent="0.25">
      <c r="A140" s="26" t="s">
        <v>1071</v>
      </c>
      <c r="B140" s="26" t="s">
        <v>634</v>
      </c>
      <c r="C140" s="16">
        <v>619217783151</v>
      </c>
      <c r="D140" s="12">
        <v>4.28</v>
      </c>
      <c r="E140" s="569" t="s">
        <v>419</v>
      </c>
      <c r="F140" s="16">
        <v>2</v>
      </c>
    </row>
    <row r="141" spans="1:6" x14ac:dyDescent="0.25">
      <c r="A141" s="26" t="s">
        <v>1071</v>
      </c>
      <c r="B141" s="26" t="s">
        <v>634</v>
      </c>
      <c r="C141" s="16">
        <v>619217783152</v>
      </c>
      <c r="D141" s="12">
        <v>4.24</v>
      </c>
      <c r="E141" s="569" t="s">
        <v>419</v>
      </c>
      <c r="F141" s="16">
        <v>3</v>
      </c>
    </row>
    <row r="142" spans="1:6" x14ac:dyDescent="0.25">
      <c r="A142" s="26" t="s">
        <v>1071</v>
      </c>
      <c r="B142" s="26" t="s">
        <v>634</v>
      </c>
      <c r="C142" s="16">
        <v>619217783153</v>
      </c>
      <c r="D142" s="12">
        <v>3.78</v>
      </c>
      <c r="E142" s="569" t="s">
        <v>419</v>
      </c>
      <c r="F142" s="16">
        <v>4</v>
      </c>
    </row>
    <row r="143" spans="1:6" x14ac:dyDescent="0.25">
      <c r="A143" s="26" t="s">
        <v>1071</v>
      </c>
      <c r="B143" s="26" t="s">
        <v>634</v>
      </c>
      <c r="C143" s="16">
        <v>619217783171</v>
      </c>
      <c r="D143" s="12">
        <v>2.84</v>
      </c>
      <c r="E143" s="570" t="s">
        <v>420</v>
      </c>
      <c r="F143" s="16">
        <v>5</v>
      </c>
    </row>
    <row r="144" spans="1:6" x14ac:dyDescent="0.25">
      <c r="A144" s="26" t="s">
        <v>1071</v>
      </c>
      <c r="B144" s="26" t="s">
        <v>634</v>
      </c>
      <c r="C144" s="16">
        <v>619217783172</v>
      </c>
      <c r="D144" s="12">
        <v>2.2400000000000002</v>
      </c>
      <c r="E144" s="570" t="s">
        <v>420</v>
      </c>
      <c r="F144" s="16">
        <v>6</v>
      </c>
    </row>
    <row r="145" spans="1:6" x14ac:dyDescent="0.25">
      <c r="A145" s="26" t="s">
        <v>1071</v>
      </c>
      <c r="B145" s="2" t="s">
        <v>636</v>
      </c>
      <c r="C145" s="16">
        <v>619217783154</v>
      </c>
      <c r="D145" s="12">
        <v>3.76</v>
      </c>
      <c r="E145" s="569" t="s">
        <v>419</v>
      </c>
      <c r="F145" s="16">
        <v>1</v>
      </c>
    </row>
    <row r="146" spans="1:6" x14ac:dyDescent="0.25">
      <c r="A146" s="26" t="s">
        <v>1071</v>
      </c>
      <c r="B146" s="2" t="s">
        <v>636</v>
      </c>
      <c r="C146" s="16">
        <v>619217783173</v>
      </c>
      <c r="D146" s="12">
        <v>3.42</v>
      </c>
      <c r="E146" s="571" t="s">
        <v>420</v>
      </c>
      <c r="F146" s="16">
        <v>2</v>
      </c>
    </row>
    <row r="147" spans="1:6" ht="15.75" thickBot="1" x14ac:dyDescent="0.3">
      <c r="A147" s="222" t="s">
        <v>1071</v>
      </c>
      <c r="B147" s="51" t="s">
        <v>636</v>
      </c>
      <c r="C147" s="129">
        <v>619217783174</v>
      </c>
      <c r="D147" s="152">
        <v>2.9</v>
      </c>
      <c r="E147" s="628" t="s">
        <v>420</v>
      </c>
      <c r="F147" s="129">
        <v>3</v>
      </c>
    </row>
    <row r="148" spans="1:6" x14ac:dyDescent="0.25">
      <c r="A148" s="86" t="s">
        <v>1136</v>
      </c>
      <c r="B148" s="625" t="s">
        <v>631</v>
      </c>
      <c r="C148" s="185">
        <v>19201800574</v>
      </c>
      <c r="D148" s="626">
        <v>4.74</v>
      </c>
      <c r="E148" s="627" t="s">
        <v>419</v>
      </c>
      <c r="F148" s="185">
        <v>1</v>
      </c>
    </row>
    <row r="149" spans="1:6" x14ac:dyDescent="0.25">
      <c r="A149" s="2" t="s">
        <v>1136</v>
      </c>
      <c r="B149" s="26" t="s">
        <v>631</v>
      </c>
      <c r="C149" s="5">
        <v>19201800542</v>
      </c>
      <c r="D149" s="623">
        <v>4.6399999999999997</v>
      </c>
      <c r="E149" s="569" t="s">
        <v>419</v>
      </c>
      <c r="F149" s="5">
        <v>2</v>
      </c>
    </row>
    <row r="150" spans="1:6" x14ac:dyDescent="0.25">
      <c r="A150" s="2" t="s">
        <v>1136</v>
      </c>
      <c r="B150" s="26" t="s">
        <v>631</v>
      </c>
      <c r="C150" s="5">
        <v>19201800559</v>
      </c>
      <c r="D150" s="623">
        <v>4.58</v>
      </c>
      <c r="E150" s="569" t="s">
        <v>419</v>
      </c>
      <c r="F150" s="5">
        <v>3</v>
      </c>
    </row>
    <row r="151" spans="1:6" x14ac:dyDescent="0.25">
      <c r="A151" s="2" t="s">
        <v>1136</v>
      </c>
      <c r="B151" s="26" t="s">
        <v>631</v>
      </c>
      <c r="C151" s="5">
        <v>19201800613</v>
      </c>
      <c r="D151" s="623">
        <v>4.16</v>
      </c>
      <c r="E151" s="569" t="s">
        <v>419</v>
      </c>
      <c r="F151" s="5">
        <v>4</v>
      </c>
    </row>
    <row r="152" spans="1:6" x14ac:dyDescent="0.25">
      <c r="A152" s="2" t="s">
        <v>1136</v>
      </c>
      <c r="B152" s="26" t="s">
        <v>631</v>
      </c>
      <c r="C152" s="5">
        <v>19201800631</v>
      </c>
      <c r="D152" s="623">
        <v>3.58</v>
      </c>
      <c r="E152" s="569" t="s">
        <v>419</v>
      </c>
      <c r="F152" s="5">
        <v>5</v>
      </c>
    </row>
    <row r="153" spans="1:6" x14ac:dyDescent="0.25">
      <c r="A153" s="2" t="s">
        <v>1136</v>
      </c>
      <c r="B153" s="26" t="s">
        <v>631</v>
      </c>
      <c r="C153" s="5">
        <v>19201800579</v>
      </c>
      <c r="D153" s="623">
        <v>3.16</v>
      </c>
      <c r="E153" s="569" t="s">
        <v>419</v>
      </c>
      <c r="F153" s="5">
        <v>6</v>
      </c>
    </row>
    <row r="154" spans="1:6" x14ac:dyDescent="0.25">
      <c r="A154" s="2" t="s">
        <v>1136</v>
      </c>
      <c r="B154" s="26" t="s">
        <v>631</v>
      </c>
      <c r="C154" s="5">
        <v>19201800611</v>
      </c>
      <c r="D154" s="623">
        <v>3.1</v>
      </c>
      <c r="E154" s="569" t="s">
        <v>419</v>
      </c>
      <c r="F154" s="5">
        <v>7</v>
      </c>
    </row>
    <row r="155" spans="1:6" x14ac:dyDescent="0.25">
      <c r="A155" s="2" t="s">
        <v>1136</v>
      </c>
      <c r="B155" s="26" t="s">
        <v>631</v>
      </c>
      <c r="C155" s="5">
        <v>19201800626</v>
      </c>
      <c r="D155" s="623">
        <v>2.58</v>
      </c>
      <c r="E155" s="571" t="s">
        <v>420</v>
      </c>
      <c r="F155" s="5">
        <v>8</v>
      </c>
    </row>
    <row r="156" spans="1:6" x14ac:dyDescent="0.25">
      <c r="A156" s="2" t="s">
        <v>1136</v>
      </c>
      <c r="B156" s="26" t="s">
        <v>631</v>
      </c>
      <c r="C156" s="5">
        <v>19201800615</v>
      </c>
      <c r="D156" s="623">
        <v>2.42</v>
      </c>
      <c r="E156" s="571" t="s">
        <v>420</v>
      </c>
      <c r="F156" s="5">
        <v>9</v>
      </c>
    </row>
    <row r="157" spans="1:6" x14ac:dyDescent="0.25">
      <c r="A157" s="2" t="s">
        <v>1136</v>
      </c>
      <c r="B157" s="26" t="s">
        <v>631</v>
      </c>
      <c r="C157" s="5">
        <v>19201800547</v>
      </c>
      <c r="D157" s="623">
        <v>2.36</v>
      </c>
      <c r="E157" s="571" t="s">
        <v>420</v>
      </c>
      <c r="F157" s="5">
        <v>10</v>
      </c>
    </row>
    <row r="158" spans="1:6" x14ac:dyDescent="0.25">
      <c r="A158" s="2" t="s">
        <v>1136</v>
      </c>
      <c r="B158" s="26" t="s">
        <v>631</v>
      </c>
      <c r="C158" s="5">
        <v>19201800552</v>
      </c>
      <c r="D158" s="623">
        <v>2.3199999999999998</v>
      </c>
      <c r="E158" s="571" t="s">
        <v>420</v>
      </c>
      <c r="F158" s="5">
        <v>11</v>
      </c>
    </row>
    <row r="159" spans="1:6" x14ac:dyDescent="0.25">
      <c r="A159" s="2" t="s">
        <v>1136</v>
      </c>
      <c r="B159" s="2" t="s">
        <v>632</v>
      </c>
      <c r="C159" s="5">
        <v>19201800548</v>
      </c>
      <c r="D159" s="623">
        <v>4.62</v>
      </c>
      <c r="E159" s="569" t="s">
        <v>419</v>
      </c>
      <c r="F159" s="5">
        <v>1</v>
      </c>
    </row>
    <row r="160" spans="1:6" x14ac:dyDescent="0.25">
      <c r="A160" s="2" t="s">
        <v>1136</v>
      </c>
      <c r="B160" s="2" t="s">
        <v>632</v>
      </c>
      <c r="C160" s="5">
        <v>19201800606</v>
      </c>
      <c r="D160" s="623">
        <v>4.5999999999999996</v>
      </c>
      <c r="E160" s="569" t="s">
        <v>419</v>
      </c>
      <c r="F160" s="5">
        <v>2</v>
      </c>
    </row>
    <row r="161" spans="1:6" x14ac:dyDescent="0.25">
      <c r="A161" s="2" t="s">
        <v>1136</v>
      </c>
      <c r="B161" s="2" t="s">
        <v>632</v>
      </c>
      <c r="C161" s="5">
        <v>19201800563</v>
      </c>
      <c r="D161" s="623">
        <v>4.58</v>
      </c>
      <c r="E161" s="569" t="s">
        <v>419</v>
      </c>
      <c r="F161" s="5">
        <v>3</v>
      </c>
    </row>
    <row r="162" spans="1:6" x14ac:dyDescent="0.25">
      <c r="A162" s="2" t="s">
        <v>1136</v>
      </c>
      <c r="B162" s="2" t="s">
        <v>632</v>
      </c>
      <c r="C162" s="5">
        <v>19201800630</v>
      </c>
      <c r="D162" s="623">
        <v>4.32</v>
      </c>
      <c r="E162" s="569" t="s">
        <v>419</v>
      </c>
      <c r="F162" s="5">
        <v>4</v>
      </c>
    </row>
    <row r="163" spans="1:6" x14ac:dyDescent="0.25">
      <c r="A163" s="2" t="s">
        <v>1136</v>
      </c>
      <c r="B163" s="2" t="s">
        <v>632</v>
      </c>
      <c r="C163" s="170">
        <v>19201800597</v>
      </c>
      <c r="D163" s="623">
        <v>4.2</v>
      </c>
      <c r="E163" s="569" t="s">
        <v>419</v>
      </c>
      <c r="F163" s="5">
        <v>5</v>
      </c>
    </row>
    <row r="164" spans="1:6" x14ac:dyDescent="0.25">
      <c r="A164" s="2" t="s">
        <v>1136</v>
      </c>
      <c r="B164" s="2" t="s">
        <v>632</v>
      </c>
      <c r="C164" s="170">
        <v>19201800592</v>
      </c>
      <c r="D164" s="623">
        <v>3.94</v>
      </c>
      <c r="E164" s="569" t="s">
        <v>419</v>
      </c>
      <c r="F164" s="5">
        <v>6</v>
      </c>
    </row>
    <row r="165" spans="1:6" x14ac:dyDescent="0.25">
      <c r="A165" s="2" t="s">
        <v>1136</v>
      </c>
      <c r="B165" s="2" t="s">
        <v>632</v>
      </c>
      <c r="C165" s="170">
        <v>19201800621</v>
      </c>
      <c r="D165" s="623">
        <v>3.52</v>
      </c>
      <c r="E165" s="569" t="s">
        <v>419</v>
      </c>
      <c r="F165" s="5">
        <v>7</v>
      </c>
    </row>
    <row r="166" spans="1:6" x14ac:dyDescent="0.25">
      <c r="A166" s="2" t="s">
        <v>1136</v>
      </c>
      <c r="B166" s="27" t="s">
        <v>632</v>
      </c>
      <c r="C166" s="170">
        <v>19201800588</v>
      </c>
      <c r="D166" s="623">
        <v>3.38</v>
      </c>
      <c r="E166" s="571" t="s">
        <v>420</v>
      </c>
      <c r="F166" s="5">
        <v>8</v>
      </c>
    </row>
    <row r="167" spans="1:6" x14ac:dyDescent="0.25">
      <c r="A167" s="2" t="s">
        <v>1136</v>
      </c>
      <c r="B167" s="27" t="s">
        <v>632</v>
      </c>
      <c r="C167" s="170">
        <v>19201800589</v>
      </c>
      <c r="D167" s="623">
        <v>3.34</v>
      </c>
      <c r="E167" s="571" t="s">
        <v>420</v>
      </c>
      <c r="F167" s="5">
        <v>9</v>
      </c>
    </row>
    <row r="168" spans="1:6" x14ac:dyDescent="0.25">
      <c r="A168" s="2" t="s">
        <v>1136</v>
      </c>
      <c r="B168" s="27" t="s">
        <v>632</v>
      </c>
      <c r="C168" s="170">
        <v>19201800581</v>
      </c>
      <c r="D168" s="623">
        <v>3.08</v>
      </c>
      <c r="E168" s="571" t="s">
        <v>420</v>
      </c>
      <c r="F168" s="5">
        <v>10</v>
      </c>
    </row>
    <row r="169" spans="1:6" x14ac:dyDescent="0.25">
      <c r="A169" s="2" t="s">
        <v>1136</v>
      </c>
      <c r="B169" s="27" t="s">
        <v>632</v>
      </c>
      <c r="C169" s="170">
        <v>19201800627</v>
      </c>
      <c r="D169" s="623">
        <v>2.84</v>
      </c>
      <c r="E169" s="571" t="s">
        <v>420</v>
      </c>
      <c r="F169" s="5">
        <v>11</v>
      </c>
    </row>
    <row r="170" spans="1:6" x14ac:dyDescent="0.25">
      <c r="A170" s="2" t="s">
        <v>1136</v>
      </c>
      <c r="B170" s="27" t="s">
        <v>632</v>
      </c>
      <c r="C170" s="170">
        <v>19201800638</v>
      </c>
      <c r="D170" s="624">
        <v>2.78</v>
      </c>
      <c r="E170" s="571" t="s">
        <v>420</v>
      </c>
      <c r="F170" s="5">
        <v>12</v>
      </c>
    </row>
    <row r="171" spans="1:6" x14ac:dyDescent="0.25">
      <c r="A171" s="2" t="s">
        <v>1136</v>
      </c>
      <c r="B171" s="27" t="s">
        <v>632</v>
      </c>
      <c r="C171" s="170">
        <v>19201800622</v>
      </c>
      <c r="D171" s="624">
        <v>2.48</v>
      </c>
      <c r="E171" s="571" t="s">
        <v>420</v>
      </c>
      <c r="F171" s="5">
        <v>13</v>
      </c>
    </row>
    <row r="172" spans="1:6" x14ac:dyDescent="0.25">
      <c r="A172" s="2" t="s">
        <v>1136</v>
      </c>
      <c r="B172" s="27" t="s">
        <v>632</v>
      </c>
      <c r="C172" s="170">
        <v>19201800540</v>
      </c>
      <c r="D172" s="624">
        <v>2.2999999999999998</v>
      </c>
      <c r="E172" s="571" t="s">
        <v>420</v>
      </c>
      <c r="F172" s="5">
        <v>14</v>
      </c>
    </row>
    <row r="173" spans="1:6" x14ac:dyDescent="0.25">
      <c r="A173" s="2" t="s">
        <v>1136</v>
      </c>
      <c r="B173" s="27" t="s">
        <v>632</v>
      </c>
      <c r="C173" s="170">
        <v>19201800598</v>
      </c>
      <c r="D173" s="624">
        <v>2.2799999999999998</v>
      </c>
      <c r="E173" s="571" t="s">
        <v>420</v>
      </c>
      <c r="F173" s="5">
        <v>15</v>
      </c>
    </row>
    <row r="174" spans="1:6" x14ac:dyDescent="0.25">
      <c r="A174" s="2" t="s">
        <v>1136</v>
      </c>
      <c r="B174" s="27" t="s">
        <v>633</v>
      </c>
      <c r="C174" s="170">
        <v>19201800535</v>
      </c>
      <c r="D174" s="623">
        <v>4.26</v>
      </c>
      <c r="E174" s="569" t="s">
        <v>419</v>
      </c>
      <c r="F174" s="5">
        <v>1</v>
      </c>
    </row>
    <row r="175" spans="1:6" x14ac:dyDescent="0.25">
      <c r="A175" s="2" t="s">
        <v>1136</v>
      </c>
      <c r="B175" s="27" t="s">
        <v>633</v>
      </c>
      <c r="C175" s="170">
        <v>19201800603</v>
      </c>
      <c r="D175" s="623">
        <v>4.22</v>
      </c>
      <c r="E175" s="569" t="s">
        <v>419</v>
      </c>
      <c r="F175" s="5">
        <v>2</v>
      </c>
    </row>
    <row r="176" spans="1:6" x14ac:dyDescent="0.25">
      <c r="A176" s="2" t="s">
        <v>1136</v>
      </c>
      <c r="B176" s="27" t="s">
        <v>633</v>
      </c>
      <c r="C176" s="170">
        <v>19201800564</v>
      </c>
      <c r="D176" s="623">
        <v>4.0999999999999996</v>
      </c>
      <c r="E176" s="569" t="s">
        <v>419</v>
      </c>
      <c r="F176" s="5">
        <v>3</v>
      </c>
    </row>
    <row r="177" spans="1:6" x14ac:dyDescent="0.25">
      <c r="A177" s="2" t="s">
        <v>1136</v>
      </c>
      <c r="B177" s="27" t="s">
        <v>633</v>
      </c>
      <c r="C177" s="170">
        <v>19201800620</v>
      </c>
      <c r="D177" s="623">
        <v>4.08</v>
      </c>
      <c r="E177" s="569" t="s">
        <v>419</v>
      </c>
      <c r="F177" s="5">
        <v>4</v>
      </c>
    </row>
    <row r="178" spans="1:6" x14ac:dyDescent="0.25">
      <c r="A178" s="2" t="s">
        <v>1136</v>
      </c>
      <c r="B178" s="27" t="s">
        <v>633</v>
      </c>
      <c r="C178" s="170">
        <v>19201800636</v>
      </c>
      <c r="D178" s="623">
        <v>4.0599999999999996</v>
      </c>
      <c r="E178" s="569" t="s">
        <v>419</v>
      </c>
      <c r="F178" s="5">
        <v>5</v>
      </c>
    </row>
    <row r="179" spans="1:6" x14ac:dyDescent="0.25">
      <c r="A179" s="2" t="s">
        <v>1136</v>
      </c>
      <c r="B179" s="27" t="s">
        <v>633</v>
      </c>
      <c r="C179" s="170">
        <v>19201800586</v>
      </c>
      <c r="D179" s="623">
        <v>3.98</v>
      </c>
      <c r="E179" s="569" t="s">
        <v>419</v>
      </c>
      <c r="F179" s="5">
        <v>6</v>
      </c>
    </row>
    <row r="180" spans="1:6" x14ac:dyDescent="0.25">
      <c r="A180" s="2" t="s">
        <v>1136</v>
      </c>
      <c r="B180" s="27" t="s">
        <v>633</v>
      </c>
      <c r="C180" s="170">
        <v>19201800591</v>
      </c>
      <c r="D180" s="623">
        <v>3.98</v>
      </c>
      <c r="E180" s="569" t="s">
        <v>419</v>
      </c>
      <c r="F180" s="5">
        <v>7</v>
      </c>
    </row>
    <row r="181" spans="1:6" x14ac:dyDescent="0.25">
      <c r="A181" s="2" t="s">
        <v>1136</v>
      </c>
      <c r="B181" s="27" t="s">
        <v>633</v>
      </c>
      <c r="C181" s="170">
        <v>19201800623</v>
      </c>
      <c r="D181" s="623">
        <v>3.96</v>
      </c>
      <c r="E181" s="569" t="s">
        <v>419</v>
      </c>
      <c r="F181" s="5">
        <v>8</v>
      </c>
    </row>
    <row r="182" spans="1:6" x14ac:dyDescent="0.25">
      <c r="A182" s="2" t="s">
        <v>1136</v>
      </c>
      <c r="B182" s="27" t="s">
        <v>633</v>
      </c>
      <c r="C182" s="170">
        <v>19201800538</v>
      </c>
      <c r="D182" s="623">
        <v>3.88</v>
      </c>
      <c r="E182" s="569" t="s">
        <v>419</v>
      </c>
      <c r="F182" s="5">
        <v>9</v>
      </c>
    </row>
    <row r="183" spans="1:6" x14ac:dyDescent="0.25">
      <c r="A183" s="2" t="s">
        <v>1136</v>
      </c>
      <c r="B183" s="27" t="s">
        <v>633</v>
      </c>
      <c r="C183" s="170">
        <v>19201800587</v>
      </c>
      <c r="D183" s="623">
        <v>3.64</v>
      </c>
      <c r="E183" s="569" t="s">
        <v>419</v>
      </c>
      <c r="F183" s="5">
        <v>10</v>
      </c>
    </row>
    <row r="184" spans="1:6" x14ac:dyDescent="0.25">
      <c r="A184" s="2" t="s">
        <v>1136</v>
      </c>
      <c r="B184" s="27" t="s">
        <v>633</v>
      </c>
      <c r="C184" s="170">
        <v>19201800608</v>
      </c>
      <c r="D184" s="623">
        <v>3.64</v>
      </c>
      <c r="E184" s="569" t="s">
        <v>419</v>
      </c>
      <c r="F184" s="5">
        <v>11</v>
      </c>
    </row>
    <row r="185" spans="1:6" x14ac:dyDescent="0.25">
      <c r="A185" s="2" t="s">
        <v>1136</v>
      </c>
      <c r="B185" s="27" t="s">
        <v>633</v>
      </c>
      <c r="C185" s="170">
        <v>19201800628</v>
      </c>
      <c r="D185" s="623">
        <v>3.16</v>
      </c>
      <c r="E185" s="571" t="s">
        <v>420</v>
      </c>
      <c r="F185" s="5">
        <v>12</v>
      </c>
    </row>
    <row r="186" spans="1:6" x14ac:dyDescent="0.25">
      <c r="A186" s="2" t="s">
        <v>1136</v>
      </c>
      <c r="B186" s="27" t="s">
        <v>633</v>
      </c>
      <c r="C186" s="170">
        <v>19201800634</v>
      </c>
      <c r="D186" s="623">
        <v>3.16</v>
      </c>
      <c r="E186" s="571" t="s">
        <v>420</v>
      </c>
      <c r="F186" s="5">
        <v>13</v>
      </c>
    </row>
    <row r="187" spans="1:6" x14ac:dyDescent="0.25">
      <c r="A187" s="2" t="s">
        <v>1136</v>
      </c>
      <c r="B187" s="27" t="s">
        <v>634</v>
      </c>
      <c r="C187" s="170">
        <v>19201800596</v>
      </c>
      <c r="D187" s="623">
        <v>4.42</v>
      </c>
      <c r="E187" s="569" t="s">
        <v>419</v>
      </c>
      <c r="F187" s="5">
        <v>1</v>
      </c>
    </row>
    <row r="188" spans="1:6" x14ac:dyDescent="0.25">
      <c r="A188" s="2" t="s">
        <v>1136</v>
      </c>
      <c r="B188" s="27" t="s">
        <v>634</v>
      </c>
      <c r="C188" s="170">
        <v>19201800582</v>
      </c>
      <c r="D188" s="623">
        <v>4.34</v>
      </c>
      <c r="E188" s="569" t="s">
        <v>419</v>
      </c>
      <c r="F188" s="5">
        <v>2</v>
      </c>
    </row>
    <row r="189" spans="1:6" x14ac:dyDescent="0.25">
      <c r="A189" s="2" t="s">
        <v>1136</v>
      </c>
      <c r="B189" s="27" t="s">
        <v>634</v>
      </c>
      <c r="C189" s="170">
        <v>19201800585</v>
      </c>
      <c r="D189" s="623">
        <v>4.28</v>
      </c>
      <c r="E189" s="569" t="s">
        <v>419</v>
      </c>
      <c r="F189" s="5">
        <v>3</v>
      </c>
    </row>
    <row r="190" spans="1:6" x14ac:dyDescent="0.25">
      <c r="A190" s="2" t="s">
        <v>1136</v>
      </c>
      <c r="B190" s="27" t="s">
        <v>634</v>
      </c>
      <c r="C190" s="170">
        <v>19201800539</v>
      </c>
      <c r="D190" s="623">
        <v>3.02</v>
      </c>
      <c r="E190" s="569" t="s">
        <v>419</v>
      </c>
      <c r="F190" s="5">
        <v>4</v>
      </c>
    </row>
    <row r="191" spans="1:6" x14ac:dyDescent="0.25">
      <c r="A191" s="2" t="s">
        <v>1136</v>
      </c>
      <c r="B191" s="27" t="s">
        <v>634</v>
      </c>
      <c r="C191" s="170">
        <v>19201800629</v>
      </c>
      <c r="D191" s="623">
        <v>2.98</v>
      </c>
      <c r="E191" s="569" t="s">
        <v>419</v>
      </c>
      <c r="F191" s="5">
        <v>5</v>
      </c>
    </row>
    <row r="192" spans="1:6" x14ac:dyDescent="0.25">
      <c r="A192" s="2" t="s">
        <v>1136</v>
      </c>
      <c r="B192" s="27" t="s">
        <v>634</v>
      </c>
      <c r="C192" s="170">
        <v>19201800602</v>
      </c>
      <c r="D192" s="623">
        <v>2.94</v>
      </c>
      <c r="E192" s="569" t="s">
        <v>419</v>
      </c>
      <c r="F192" s="5">
        <v>6</v>
      </c>
    </row>
    <row r="193" spans="1:6" x14ac:dyDescent="0.25">
      <c r="A193" s="2" t="s">
        <v>1136</v>
      </c>
      <c r="B193" s="27" t="s">
        <v>1137</v>
      </c>
      <c r="C193" s="170">
        <v>19201800584</v>
      </c>
      <c r="D193" s="623">
        <v>4.66</v>
      </c>
      <c r="E193" s="569" t="s">
        <v>419</v>
      </c>
      <c r="F193" s="5">
        <v>1</v>
      </c>
    </row>
    <row r="194" spans="1:6" x14ac:dyDescent="0.25">
      <c r="A194" s="2" t="s">
        <v>1136</v>
      </c>
      <c r="B194" s="27" t="s">
        <v>1137</v>
      </c>
      <c r="C194" s="170">
        <v>19201800580</v>
      </c>
      <c r="D194" s="623">
        <v>3.76</v>
      </c>
      <c r="E194" s="571" t="s">
        <v>420</v>
      </c>
      <c r="F194" s="5">
        <v>2</v>
      </c>
    </row>
    <row r="195" spans="1:6" x14ac:dyDescent="0.25">
      <c r="A195" s="2" t="s">
        <v>1136</v>
      </c>
      <c r="B195" s="27" t="s">
        <v>636</v>
      </c>
      <c r="C195" s="170">
        <v>19201800601</v>
      </c>
      <c r="D195" s="623">
        <v>4.16</v>
      </c>
      <c r="E195" s="569" t="s">
        <v>419</v>
      </c>
      <c r="F195" s="5">
        <v>1</v>
      </c>
    </row>
    <row r="196" spans="1:6" x14ac:dyDescent="0.25">
      <c r="A196" s="2" t="s">
        <v>1157</v>
      </c>
      <c r="B196" s="27" t="s">
        <v>631</v>
      </c>
      <c r="C196" s="2">
        <v>19201800913</v>
      </c>
      <c r="D196" s="2">
        <v>4.26</v>
      </c>
      <c r="E196" s="569" t="s">
        <v>419</v>
      </c>
      <c r="F196" s="2" t="s">
        <v>578</v>
      </c>
    </row>
    <row r="197" spans="1:6" x14ac:dyDescent="0.25">
      <c r="A197" s="2" t="s">
        <v>1157</v>
      </c>
      <c r="B197" s="27" t="s">
        <v>631</v>
      </c>
      <c r="C197" s="2">
        <v>19201800905</v>
      </c>
      <c r="D197" s="2">
        <v>4.18</v>
      </c>
      <c r="E197" s="569" t="s">
        <v>419</v>
      </c>
      <c r="F197" s="2" t="s">
        <v>579</v>
      </c>
    </row>
    <row r="198" spans="1:6" x14ac:dyDescent="0.25">
      <c r="A198" s="2" t="s">
        <v>1157</v>
      </c>
      <c r="B198" s="27" t="s">
        <v>631</v>
      </c>
      <c r="C198" s="2">
        <v>19201800917</v>
      </c>
      <c r="D198" s="2">
        <v>3.9</v>
      </c>
      <c r="E198" s="569" t="s">
        <v>419</v>
      </c>
      <c r="F198" s="2" t="s">
        <v>580</v>
      </c>
    </row>
    <row r="199" spans="1:6" x14ac:dyDescent="0.25">
      <c r="A199" s="2" t="s">
        <v>1157</v>
      </c>
      <c r="B199" s="27" t="s">
        <v>631</v>
      </c>
      <c r="C199" s="2">
        <v>19201800910</v>
      </c>
      <c r="D199" s="2">
        <v>3.3</v>
      </c>
      <c r="E199" s="569" t="s">
        <v>419</v>
      </c>
      <c r="F199" s="2" t="s">
        <v>581</v>
      </c>
    </row>
    <row r="200" spans="1:6" x14ac:dyDescent="0.25">
      <c r="A200" s="2" t="s">
        <v>1157</v>
      </c>
      <c r="B200" s="27" t="s">
        <v>631</v>
      </c>
      <c r="C200" s="2">
        <v>19201800894</v>
      </c>
      <c r="D200" s="2">
        <v>2.98</v>
      </c>
      <c r="E200" s="571" t="s">
        <v>420</v>
      </c>
      <c r="F200" s="2" t="s">
        <v>582</v>
      </c>
    </row>
    <row r="201" spans="1:6" x14ac:dyDescent="0.25">
      <c r="A201" s="2" t="s">
        <v>1157</v>
      </c>
      <c r="B201" s="27" t="s">
        <v>631</v>
      </c>
      <c r="C201" s="2">
        <v>19201800892</v>
      </c>
      <c r="D201" s="2">
        <v>2.76</v>
      </c>
      <c r="E201" s="571" t="s">
        <v>420</v>
      </c>
      <c r="F201" s="2" t="s">
        <v>583</v>
      </c>
    </row>
    <row r="202" spans="1:6" x14ac:dyDescent="0.25">
      <c r="A202" s="2" t="s">
        <v>1157</v>
      </c>
      <c r="B202" s="27" t="s">
        <v>631</v>
      </c>
      <c r="C202" s="2">
        <v>19201800921</v>
      </c>
      <c r="D202" s="2">
        <v>2.76</v>
      </c>
      <c r="E202" s="571" t="s">
        <v>420</v>
      </c>
      <c r="F202" s="2" t="s">
        <v>584</v>
      </c>
    </row>
    <row r="203" spans="1:6" x14ac:dyDescent="0.25">
      <c r="A203" s="2" t="s">
        <v>1157</v>
      </c>
      <c r="B203" s="27" t="s">
        <v>631</v>
      </c>
      <c r="C203" s="2">
        <v>19201800890</v>
      </c>
      <c r="D203" s="2">
        <v>2.48</v>
      </c>
      <c r="E203" s="571" t="s">
        <v>420</v>
      </c>
      <c r="F203" s="2" t="s">
        <v>585</v>
      </c>
    </row>
    <row r="204" spans="1:6" x14ac:dyDescent="0.25">
      <c r="A204" s="2" t="s">
        <v>1157</v>
      </c>
      <c r="B204" s="27" t="s">
        <v>631</v>
      </c>
      <c r="C204" s="2">
        <v>19201800912</v>
      </c>
      <c r="D204" s="2">
        <v>2.48</v>
      </c>
      <c r="E204" s="571" t="s">
        <v>420</v>
      </c>
      <c r="F204" s="2" t="s">
        <v>586</v>
      </c>
    </row>
    <row r="205" spans="1:6" x14ac:dyDescent="0.25">
      <c r="A205" s="2" t="s">
        <v>1157</v>
      </c>
      <c r="B205" s="27" t="s">
        <v>631</v>
      </c>
      <c r="C205" s="2">
        <v>19201800858</v>
      </c>
      <c r="D205" s="2">
        <v>2.3199999999999998</v>
      </c>
      <c r="E205" s="571" t="s">
        <v>420</v>
      </c>
      <c r="F205" s="2" t="s">
        <v>587</v>
      </c>
    </row>
    <row r="206" spans="1:6" x14ac:dyDescent="0.25">
      <c r="A206" s="2" t="s">
        <v>1157</v>
      </c>
      <c r="B206" s="27" t="s">
        <v>632</v>
      </c>
      <c r="C206" s="2">
        <v>19201800895</v>
      </c>
      <c r="D206" s="2">
        <v>4.42</v>
      </c>
      <c r="E206" s="569" t="s">
        <v>419</v>
      </c>
      <c r="F206" s="26" t="s">
        <v>578</v>
      </c>
    </row>
    <row r="207" spans="1:6" x14ac:dyDescent="0.25">
      <c r="A207" s="2" t="s">
        <v>1157</v>
      </c>
      <c r="B207" s="27" t="s">
        <v>632</v>
      </c>
      <c r="C207" s="2">
        <v>19201800869</v>
      </c>
      <c r="D207" s="2">
        <v>4.1399999999999997</v>
      </c>
      <c r="E207" s="569" t="s">
        <v>419</v>
      </c>
      <c r="F207" s="26" t="s">
        <v>579</v>
      </c>
    </row>
    <row r="208" spans="1:6" x14ac:dyDescent="0.25">
      <c r="A208" s="2" t="s">
        <v>1157</v>
      </c>
      <c r="B208" s="27" t="s">
        <v>632</v>
      </c>
      <c r="C208" s="2">
        <v>19201800906</v>
      </c>
      <c r="D208" s="2">
        <v>3.96</v>
      </c>
      <c r="E208" s="569" t="s">
        <v>419</v>
      </c>
      <c r="F208" s="26" t="s">
        <v>580</v>
      </c>
    </row>
    <row r="209" spans="1:6" x14ac:dyDescent="0.25">
      <c r="A209" s="2" t="s">
        <v>1157</v>
      </c>
      <c r="B209" s="27" t="s">
        <v>632</v>
      </c>
      <c r="C209" s="2">
        <v>19201800926</v>
      </c>
      <c r="D209" s="2">
        <v>3.92</v>
      </c>
      <c r="E209" s="569" t="s">
        <v>419</v>
      </c>
      <c r="F209" s="26" t="s">
        <v>581</v>
      </c>
    </row>
    <row r="210" spans="1:6" x14ac:dyDescent="0.25">
      <c r="A210" s="2" t="s">
        <v>1157</v>
      </c>
      <c r="B210" s="27" t="s">
        <v>632</v>
      </c>
      <c r="C210" s="2">
        <v>19201800907</v>
      </c>
      <c r="D210" s="2">
        <v>3.62</v>
      </c>
      <c r="E210" s="571" t="s">
        <v>420</v>
      </c>
      <c r="F210" s="2" t="s">
        <v>582</v>
      </c>
    </row>
    <row r="211" spans="1:6" x14ac:dyDescent="0.25">
      <c r="A211" s="2" t="s">
        <v>1157</v>
      </c>
      <c r="B211" s="27" t="s">
        <v>632</v>
      </c>
      <c r="C211" s="2">
        <v>19201800899</v>
      </c>
      <c r="D211" s="2">
        <v>2.94</v>
      </c>
      <c r="E211" s="571" t="s">
        <v>420</v>
      </c>
      <c r="F211" s="2" t="s">
        <v>583</v>
      </c>
    </row>
    <row r="212" spans="1:6" x14ac:dyDescent="0.25">
      <c r="A212" s="2" t="s">
        <v>1157</v>
      </c>
      <c r="B212" s="27" t="s">
        <v>632</v>
      </c>
      <c r="C212" s="2">
        <v>19201800908</v>
      </c>
      <c r="D212" s="2">
        <v>2.94</v>
      </c>
      <c r="E212" s="571" t="s">
        <v>420</v>
      </c>
      <c r="F212" s="2" t="s">
        <v>584</v>
      </c>
    </row>
    <row r="213" spans="1:6" x14ac:dyDescent="0.25">
      <c r="A213" s="2" t="s">
        <v>1157</v>
      </c>
      <c r="B213" s="27" t="s">
        <v>632</v>
      </c>
      <c r="C213" s="2">
        <v>19201800922</v>
      </c>
      <c r="D213" s="2">
        <v>2.92</v>
      </c>
      <c r="E213" s="571" t="s">
        <v>420</v>
      </c>
      <c r="F213" s="2" t="s">
        <v>585</v>
      </c>
    </row>
    <row r="214" spans="1:6" x14ac:dyDescent="0.25">
      <c r="A214" s="2" t="s">
        <v>1157</v>
      </c>
      <c r="B214" s="27" t="s">
        <v>632</v>
      </c>
      <c r="C214" s="2">
        <v>19201800882</v>
      </c>
      <c r="D214" s="2">
        <v>2.74</v>
      </c>
      <c r="E214" s="571" t="s">
        <v>420</v>
      </c>
      <c r="F214" s="2" t="s">
        <v>586</v>
      </c>
    </row>
    <row r="215" spans="1:6" x14ac:dyDescent="0.25">
      <c r="A215" s="2" t="s">
        <v>1157</v>
      </c>
      <c r="B215" s="27" t="s">
        <v>632</v>
      </c>
      <c r="C215" s="2">
        <v>19201800897</v>
      </c>
      <c r="D215" s="2">
        <v>2.74</v>
      </c>
      <c r="E215" s="571" t="s">
        <v>420</v>
      </c>
      <c r="F215" s="2" t="s">
        <v>587</v>
      </c>
    </row>
    <row r="216" spans="1:6" x14ac:dyDescent="0.25">
      <c r="A216" s="2" t="s">
        <v>1157</v>
      </c>
      <c r="B216" s="27" t="s">
        <v>632</v>
      </c>
      <c r="C216" s="2">
        <v>19201800896</v>
      </c>
      <c r="D216" s="2">
        <v>2.38</v>
      </c>
      <c r="E216" s="571" t="s">
        <v>420</v>
      </c>
      <c r="F216" s="2" t="s">
        <v>588</v>
      </c>
    </row>
    <row r="217" spans="1:6" x14ac:dyDescent="0.25">
      <c r="A217" s="2" t="s">
        <v>1157</v>
      </c>
      <c r="B217" s="27" t="s">
        <v>633</v>
      </c>
      <c r="C217" s="2">
        <v>19201800924</v>
      </c>
      <c r="D217" s="2">
        <v>4.54</v>
      </c>
      <c r="E217" s="569" t="s">
        <v>419</v>
      </c>
      <c r="F217" s="26" t="s">
        <v>578</v>
      </c>
    </row>
    <row r="218" spans="1:6" x14ac:dyDescent="0.25">
      <c r="A218" s="2" t="s">
        <v>1157</v>
      </c>
      <c r="B218" s="27" t="s">
        <v>633</v>
      </c>
      <c r="C218" s="2">
        <v>19201800927</v>
      </c>
      <c r="D218" s="2">
        <v>4.2</v>
      </c>
      <c r="E218" s="569" t="s">
        <v>419</v>
      </c>
      <c r="F218" s="26" t="s">
        <v>579</v>
      </c>
    </row>
    <row r="219" spans="1:6" x14ac:dyDescent="0.25">
      <c r="A219" s="2" t="s">
        <v>1157</v>
      </c>
      <c r="B219" s="27" t="s">
        <v>633</v>
      </c>
      <c r="C219" s="2">
        <v>19201800903</v>
      </c>
      <c r="D219" s="2">
        <v>3.92</v>
      </c>
      <c r="E219" s="569" t="s">
        <v>419</v>
      </c>
      <c r="F219" s="26" t="s">
        <v>580</v>
      </c>
    </row>
    <row r="220" spans="1:6" x14ac:dyDescent="0.25">
      <c r="A220" s="2" t="s">
        <v>1157</v>
      </c>
      <c r="B220" s="27" t="s">
        <v>633</v>
      </c>
      <c r="C220" s="2">
        <v>19201800969</v>
      </c>
      <c r="D220" s="2">
        <v>3.82</v>
      </c>
      <c r="E220" s="569" t="s">
        <v>419</v>
      </c>
      <c r="F220" s="26" t="s">
        <v>581</v>
      </c>
    </row>
    <row r="221" spans="1:6" x14ac:dyDescent="0.25">
      <c r="A221" s="2" t="s">
        <v>1157</v>
      </c>
      <c r="B221" s="27" t="s">
        <v>633</v>
      </c>
      <c r="C221" s="2">
        <v>19201800925</v>
      </c>
      <c r="D221" s="2">
        <v>3.78</v>
      </c>
      <c r="E221" s="569" t="s">
        <v>419</v>
      </c>
      <c r="F221" s="2" t="s">
        <v>582</v>
      </c>
    </row>
    <row r="222" spans="1:6" x14ac:dyDescent="0.25">
      <c r="A222" s="2" t="s">
        <v>1157</v>
      </c>
      <c r="B222" s="27" t="s">
        <v>633</v>
      </c>
      <c r="C222" s="2">
        <v>19201800904</v>
      </c>
      <c r="D222" s="2">
        <v>3.76</v>
      </c>
      <c r="E222" s="569" t="s">
        <v>419</v>
      </c>
      <c r="F222" s="2" t="s">
        <v>583</v>
      </c>
    </row>
    <row r="223" spans="1:6" x14ac:dyDescent="0.25">
      <c r="A223" s="2" t="s">
        <v>1157</v>
      </c>
      <c r="B223" s="27" t="s">
        <v>633</v>
      </c>
      <c r="C223" s="2">
        <v>19201800900</v>
      </c>
      <c r="D223" s="2">
        <v>3.74</v>
      </c>
      <c r="E223" s="569" t="s">
        <v>419</v>
      </c>
      <c r="F223" s="2" t="s">
        <v>584</v>
      </c>
    </row>
    <row r="224" spans="1:6" x14ac:dyDescent="0.25">
      <c r="A224" s="2" t="s">
        <v>1157</v>
      </c>
      <c r="B224" s="27" t="s">
        <v>633</v>
      </c>
      <c r="C224" s="2">
        <v>19201800864</v>
      </c>
      <c r="D224" s="2">
        <v>3.26</v>
      </c>
      <c r="E224" s="571" t="s">
        <v>420</v>
      </c>
      <c r="F224" s="2" t="s">
        <v>585</v>
      </c>
    </row>
    <row r="225" spans="1:7" x14ac:dyDescent="0.25">
      <c r="A225" s="2" t="s">
        <v>1157</v>
      </c>
      <c r="B225" s="27" t="s">
        <v>633</v>
      </c>
      <c r="C225" s="2">
        <v>19201800844</v>
      </c>
      <c r="D225" s="2">
        <v>2.94</v>
      </c>
      <c r="E225" s="571" t="s">
        <v>420</v>
      </c>
      <c r="F225" s="2" t="s">
        <v>586</v>
      </c>
    </row>
    <row r="226" spans="1:7" x14ac:dyDescent="0.25">
      <c r="A226" s="2" t="s">
        <v>1157</v>
      </c>
      <c r="B226" s="27" t="s">
        <v>633</v>
      </c>
      <c r="C226" s="2">
        <v>19201800901</v>
      </c>
      <c r="D226" s="2">
        <v>2.94</v>
      </c>
      <c r="E226" s="571" t="s">
        <v>420</v>
      </c>
      <c r="F226" s="2" t="s">
        <v>587</v>
      </c>
    </row>
    <row r="227" spans="1:7" x14ac:dyDescent="0.25">
      <c r="A227" s="2" t="s">
        <v>1157</v>
      </c>
      <c r="B227" s="27" t="s">
        <v>633</v>
      </c>
      <c r="C227" s="2">
        <v>19201800898</v>
      </c>
      <c r="D227" s="2">
        <v>2.58</v>
      </c>
      <c r="E227" s="571" t="s">
        <v>420</v>
      </c>
      <c r="F227" s="2" t="s">
        <v>588</v>
      </c>
    </row>
    <row r="228" spans="1:7" x14ac:dyDescent="0.25">
      <c r="A228" s="2" t="s">
        <v>1157</v>
      </c>
      <c r="B228" s="27" t="s">
        <v>633</v>
      </c>
      <c r="C228" s="2">
        <v>19201800919</v>
      </c>
      <c r="D228" s="2">
        <v>2.58</v>
      </c>
      <c r="E228" s="571" t="s">
        <v>420</v>
      </c>
      <c r="F228" s="2" t="s">
        <v>589</v>
      </c>
    </row>
    <row r="229" spans="1:7" x14ac:dyDescent="0.25">
      <c r="A229" s="2" t="s">
        <v>1157</v>
      </c>
      <c r="B229" s="27" t="s">
        <v>634</v>
      </c>
      <c r="C229" s="2">
        <v>19201800909</v>
      </c>
      <c r="D229" s="2">
        <v>4.4800000000000004</v>
      </c>
      <c r="E229" s="569" t="s">
        <v>419</v>
      </c>
      <c r="F229" s="26" t="s">
        <v>578</v>
      </c>
    </row>
    <row r="230" spans="1:7" x14ac:dyDescent="0.25">
      <c r="A230" s="2" t="s">
        <v>1157</v>
      </c>
      <c r="B230" s="27" t="s">
        <v>634</v>
      </c>
      <c r="C230" s="2">
        <v>19201800920</v>
      </c>
      <c r="D230" s="2">
        <v>4.32</v>
      </c>
      <c r="E230" s="569" t="s">
        <v>419</v>
      </c>
      <c r="F230" s="26" t="s">
        <v>579</v>
      </c>
    </row>
    <row r="231" spans="1:7" x14ac:dyDescent="0.25">
      <c r="A231" s="2" t="s">
        <v>1157</v>
      </c>
      <c r="B231" s="27" t="s">
        <v>634</v>
      </c>
      <c r="C231" s="2">
        <v>19201800891</v>
      </c>
      <c r="D231" s="2">
        <v>2.9</v>
      </c>
      <c r="E231" s="571" t="s">
        <v>420</v>
      </c>
      <c r="F231" s="26" t="s">
        <v>580</v>
      </c>
    </row>
    <row r="232" spans="1:7" x14ac:dyDescent="0.25">
      <c r="A232" s="2" t="s">
        <v>1157</v>
      </c>
      <c r="B232" s="27" t="s">
        <v>1137</v>
      </c>
      <c r="C232" s="2">
        <v>19201800889</v>
      </c>
      <c r="D232" s="2">
        <v>4.08</v>
      </c>
      <c r="E232" s="569" t="s">
        <v>419</v>
      </c>
      <c r="F232" s="26" t="s">
        <v>578</v>
      </c>
    </row>
    <row r="233" spans="1:7" x14ac:dyDescent="0.25">
      <c r="A233" s="2" t="s">
        <v>1157</v>
      </c>
      <c r="B233" s="27" t="s">
        <v>1137</v>
      </c>
      <c r="C233" s="2">
        <v>19201800918</v>
      </c>
      <c r="D233" s="2">
        <v>3.86</v>
      </c>
      <c r="E233" s="569" t="s">
        <v>419</v>
      </c>
      <c r="F233" s="26" t="s">
        <v>579</v>
      </c>
    </row>
    <row r="234" spans="1:7" x14ac:dyDescent="0.25">
      <c r="A234" s="2" t="s">
        <v>1157</v>
      </c>
      <c r="B234" s="27" t="s">
        <v>1137</v>
      </c>
      <c r="C234" s="2">
        <v>19201800911</v>
      </c>
      <c r="D234" s="2">
        <v>2.2999999999999998</v>
      </c>
      <c r="E234" s="571" t="s">
        <v>420</v>
      </c>
      <c r="F234" s="26" t="s">
        <v>580</v>
      </c>
    </row>
    <row r="235" spans="1:7" x14ac:dyDescent="0.25">
      <c r="A235" s="26" t="s">
        <v>1201</v>
      </c>
      <c r="B235" s="27" t="s">
        <v>631</v>
      </c>
      <c r="C235" s="2">
        <v>19201900572</v>
      </c>
      <c r="D235" s="2">
        <v>4.12</v>
      </c>
      <c r="E235" s="569" t="s">
        <v>419</v>
      </c>
      <c r="F235" s="26" t="s">
        <v>578</v>
      </c>
      <c r="G235" s="647"/>
    </row>
    <row r="236" spans="1:7" x14ac:dyDescent="0.25">
      <c r="A236" s="26" t="s">
        <v>1201</v>
      </c>
      <c r="B236" s="27" t="s">
        <v>631</v>
      </c>
      <c r="C236" s="2">
        <v>19201900614</v>
      </c>
      <c r="D236" s="2">
        <v>4.08</v>
      </c>
      <c r="E236" s="569" t="s">
        <v>419</v>
      </c>
      <c r="F236" s="26" t="s">
        <v>579</v>
      </c>
      <c r="G236" s="647"/>
    </row>
    <row r="237" spans="1:7" x14ac:dyDescent="0.25">
      <c r="A237" s="26" t="s">
        <v>1201</v>
      </c>
      <c r="B237" s="27" t="s">
        <v>631</v>
      </c>
      <c r="C237" s="2">
        <v>19201900581</v>
      </c>
      <c r="D237" s="2">
        <v>3.96</v>
      </c>
      <c r="E237" s="569" t="s">
        <v>419</v>
      </c>
      <c r="F237" s="26" t="s">
        <v>580</v>
      </c>
      <c r="G237" s="647"/>
    </row>
    <row r="238" spans="1:7" x14ac:dyDescent="0.25">
      <c r="A238" s="26" t="s">
        <v>1201</v>
      </c>
      <c r="B238" s="27" t="s">
        <v>631</v>
      </c>
      <c r="C238" s="2">
        <v>19201900605</v>
      </c>
      <c r="D238" s="2">
        <v>3.58</v>
      </c>
      <c r="E238" s="569" t="s">
        <v>419</v>
      </c>
      <c r="F238" s="26" t="s">
        <v>581</v>
      </c>
      <c r="G238" s="647"/>
    </row>
    <row r="239" spans="1:7" x14ac:dyDescent="0.25">
      <c r="A239" s="26" t="s">
        <v>1201</v>
      </c>
      <c r="B239" s="27" t="s">
        <v>631</v>
      </c>
      <c r="C239" s="2">
        <v>19201900595</v>
      </c>
      <c r="D239" s="2">
        <v>2.88</v>
      </c>
      <c r="E239" s="571" t="s">
        <v>420</v>
      </c>
      <c r="F239" s="2" t="s">
        <v>582</v>
      </c>
      <c r="G239" s="647"/>
    </row>
    <row r="240" spans="1:7" x14ac:dyDescent="0.25">
      <c r="A240" s="26" t="s">
        <v>1201</v>
      </c>
      <c r="B240" s="27" t="s">
        <v>631</v>
      </c>
      <c r="C240" s="2">
        <v>19201900592</v>
      </c>
      <c r="D240" s="2">
        <v>2.76</v>
      </c>
      <c r="E240" s="571" t="s">
        <v>420</v>
      </c>
      <c r="F240" s="2" t="s">
        <v>583</v>
      </c>
      <c r="G240" s="647"/>
    </row>
    <row r="241" spans="1:7" x14ac:dyDescent="0.25">
      <c r="A241" s="26" t="s">
        <v>1201</v>
      </c>
      <c r="B241" s="27" t="s">
        <v>632</v>
      </c>
      <c r="C241" s="2">
        <v>19201900609</v>
      </c>
      <c r="D241" s="2">
        <v>4.3</v>
      </c>
      <c r="E241" s="569" t="s">
        <v>419</v>
      </c>
      <c r="F241" s="26" t="s">
        <v>578</v>
      </c>
      <c r="G241" s="647"/>
    </row>
    <row r="242" spans="1:7" x14ac:dyDescent="0.25">
      <c r="A242" s="26" t="s">
        <v>1201</v>
      </c>
      <c r="B242" s="27" t="s">
        <v>632</v>
      </c>
      <c r="C242" s="2">
        <v>19201900611</v>
      </c>
      <c r="D242" s="2">
        <v>3.9</v>
      </c>
      <c r="E242" s="569" t="s">
        <v>419</v>
      </c>
      <c r="F242" s="26" t="s">
        <v>579</v>
      </c>
      <c r="G242" s="647"/>
    </row>
    <row r="243" spans="1:7" x14ac:dyDescent="0.25">
      <c r="A243" s="26" t="s">
        <v>1201</v>
      </c>
      <c r="B243" s="27" t="s">
        <v>632</v>
      </c>
      <c r="C243" s="2">
        <v>19201900590</v>
      </c>
      <c r="D243" s="2">
        <v>3.36</v>
      </c>
      <c r="E243" s="569" t="s">
        <v>419</v>
      </c>
      <c r="F243" s="26" t="s">
        <v>580</v>
      </c>
      <c r="G243" s="647"/>
    </row>
    <row r="244" spans="1:7" x14ac:dyDescent="0.25">
      <c r="A244" s="26" t="s">
        <v>1201</v>
      </c>
      <c r="B244" s="27" t="s">
        <v>632</v>
      </c>
      <c r="C244" s="2">
        <v>19201900601</v>
      </c>
      <c r="D244" s="2">
        <v>2.98</v>
      </c>
      <c r="E244" s="571" t="s">
        <v>420</v>
      </c>
      <c r="F244" s="26" t="s">
        <v>581</v>
      </c>
      <c r="G244" s="647"/>
    </row>
    <row r="245" spans="1:7" x14ac:dyDescent="0.25">
      <c r="A245" s="26" t="s">
        <v>1201</v>
      </c>
      <c r="B245" s="27" t="s">
        <v>632</v>
      </c>
      <c r="C245" s="2">
        <v>19201900597</v>
      </c>
      <c r="D245" s="2">
        <v>2.8</v>
      </c>
      <c r="E245" s="571" t="s">
        <v>420</v>
      </c>
      <c r="F245" s="2" t="s">
        <v>582</v>
      </c>
      <c r="G245" s="647"/>
    </row>
    <row r="246" spans="1:7" x14ac:dyDescent="0.25">
      <c r="A246" s="26" t="s">
        <v>1201</v>
      </c>
      <c r="B246" s="27" t="s">
        <v>632</v>
      </c>
      <c r="C246" s="2">
        <v>19201900618</v>
      </c>
      <c r="D246" s="2">
        <v>2.68</v>
      </c>
      <c r="E246" s="571" t="s">
        <v>420</v>
      </c>
      <c r="F246" s="2" t="s">
        <v>583</v>
      </c>
      <c r="G246" s="647"/>
    </row>
    <row r="247" spans="1:7" x14ac:dyDescent="0.25">
      <c r="A247" s="26" t="s">
        <v>1201</v>
      </c>
      <c r="B247" s="27" t="s">
        <v>632</v>
      </c>
      <c r="C247" s="2">
        <v>19201900594</v>
      </c>
      <c r="D247" s="2">
        <v>2.64</v>
      </c>
      <c r="E247" s="571" t="s">
        <v>420</v>
      </c>
      <c r="F247" s="2" t="s">
        <v>584</v>
      </c>
      <c r="G247" s="647"/>
    </row>
    <row r="248" spans="1:7" x14ac:dyDescent="0.25">
      <c r="A248" s="26" t="s">
        <v>1201</v>
      </c>
      <c r="B248" s="27" t="s">
        <v>633</v>
      </c>
      <c r="C248" s="2">
        <v>19201900593</v>
      </c>
      <c r="D248" s="2">
        <v>4.24</v>
      </c>
      <c r="E248" s="569" t="s">
        <v>419</v>
      </c>
      <c r="F248" s="26" t="s">
        <v>578</v>
      </c>
      <c r="G248" s="647"/>
    </row>
    <row r="249" spans="1:7" x14ac:dyDescent="0.25">
      <c r="A249" s="26" t="s">
        <v>1201</v>
      </c>
      <c r="B249" s="27" t="s">
        <v>633</v>
      </c>
      <c r="C249" s="2">
        <v>19201900612</v>
      </c>
      <c r="D249" s="2">
        <v>4.0999999999999996</v>
      </c>
      <c r="E249" s="569" t="s">
        <v>419</v>
      </c>
      <c r="F249" s="26" t="s">
        <v>579</v>
      </c>
      <c r="G249" s="647"/>
    </row>
    <row r="250" spans="1:7" x14ac:dyDescent="0.25">
      <c r="A250" s="26" t="s">
        <v>1201</v>
      </c>
      <c r="B250" s="27" t="s">
        <v>633</v>
      </c>
      <c r="C250" s="2">
        <v>19201900600</v>
      </c>
      <c r="D250" s="2">
        <v>3.98</v>
      </c>
      <c r="E250" s="569" t="s">
        <v>419</v>
      </c>
      <c r="F250" s="26" t="s">
        <v>580</v>
      </c>
      <c r="G250" s="647"/>
    </row>
    <row r="251" spans="1:7" x14ac:dyDescent="0.25">
      <c r="A251" s="26" t="s">
        <v>1201</v>
      </c>
      <c r="B251" s="27" t="s">
        <v>633</v>
      </c>
      <c r="C251" s="2">
        <v>19201900606</v>
      </c>
      <c r="D251" s="2">
        <v>3.98</v>
      </c>
      <c r="E251" s="569" t="s">
        <v>419</v>
      </c>
      <c r="F251" s="26" t="s">
        <v>581</v>
      </c>
      <c r="G251" s="647"/>
    </row>
    <row r="252" spans="1:7" x14ac:dyDescent="0.25">
      <c r="A252" s="26" t="s">
        <v>1201</v>
      </c>
      <c r="B252" s="27" t="s">
        <v>633</v>
      </c>
      <c r="C252" s="2">
        <v>19201900507</v>
      </c>
      <c r="D252" s="2">
        <v>3.7</v>
      </c>
      <c r="E252" s="569" t="s">
        <v>419</v>
      </c>
      <c r="F252" s="2" t="s">
        <v>582</v>
      </c>
      <c r="G252" s="647"/>
    </row>
    <row r="253" spans="1:7" x14ac:dyDescent="0.25">
      <c r="A253" s="26" t="s">
        <v>1201</v>
      </c>
      <c r="B253" s="27" t="s">
        <v>633</v>
      </c>
      <c r="C253" s="2">
        <v>19201900588</v>
      </c>
      <c r="D253" s="2">
        <v>3.7</v>
      </c>
      <c r="E253" s="569" t="s">
        <v>419</v>
      </c>
      <c r="F253" s="2" t="s">
        <v>583</v>
      </c>
      <c r="G253" s="647"/>
    </row>
    <row r="254" spans="1:7" x14ac:dyDescent="0.25">
      <c r="A254" s="26" t="s">
        <v>1201</v>
      </c>
      <c r="B254" s="27" t="s">
        <v>633</v>
      </c>
      <c r="C254" s="2">
        <v>19201900554</v>
      </c>
      <c r="D254" s="2">
        <v>3.64</v>
      </c>
      <c r="E254" s="571" t="s">
        <v>420</v>
      </c>
      <c r="F254" s="2" t="s">
        <v>584</v>
      </c>
      <c r="G254" s="647"/>
    </row>
    <row r="255" spans="1:7" x14ac:dyDescent="0.25">
      <c r="A255" s="26" t="s">
        <v>1201</v>
      </c>
      <c r="B255" s="27" t="s">
        <v>633</v>
      </c>
      <c r="C255" s="2">
        <v>19201900587</v>
      </c>
      <c r="D255" s="2">
        <v>3.6</v>
      </c>
      <c r="E255" s="571" t="s">
        <v>420</v>
      </c>
      <c r="F255" s="2" t="s">
        <v>585</v>
      </c>
      <c r="G255" s="647"/>
    </row>
    <row r="256" spans="1:7" x14ac:dyDescent="0.25">
      <c r="A256" s="26" t="s">
        <v>1201</v>
      </c>
      <c r="B256" s="27" t="s">
        <v>633</v>
      </c>
      <c r="C256" s="2">
        <v>19201900603</v>
      </c>
      <c r="D256" s="2">
        <v>3.54</v>
      </c>
      <c r="E256" s="571" t="s">
        <v>420</v>
      </c>
      <c r="F256" s="2" t="s">
        <v>586</v>
      </c>
      <c r="G256" s="647"/>
    </row>
    <row r="257" spans="1:7" x14ac:dyDescent="0.25">
      <c r="A257" s="26" t="s">
        <v>1201</v>
      </c>
      <c r="B257" s="27" t="s">
        <v>633</v>
      </c>
      <c r="C257" s="2">
        <v>19201900589</v>
      </c>
      <c r="D257" s="2">
        <v>3.52</v>
      </c>
      <c r="E257" s="571" t="s">
        <v>420</v>
      </c>
      <c r="F257" s="2" t="s">
        <v>587</v>
      </c>
      <c r="G257" s="647"/>
    </row>
    <row r="258" spans="1:7" x14ac:dyDescent="0.25">
      <c r="A258" s="26" t="s">
        <v>1201</v>
      </c>
      <c r="B258" s="27" t="s">
        <v>633</v>
      </c>
      <c r="C258" s="2">
        <v>19201900604</v>
      </c>
      <c r="D258" s="2">
        <v>3.52</v>
      </c>
      <c r="E258" s="571" t="s">
        <v>420</v>
      </c>
      <c r="F258" s="2" t="s">
        <v>588</v>
      </c>
      <c r="G258" s="647"/>
    </row>
    <row r="259" spans="1:7" x14ac:dyDescent="0.25">
      <c r="A259" s="26" t="s">
        <v>1201</v>
      </c>
      <c r="B259" s="27" t="s">
        <v>633</v>
      </c>
      <c r="C259" s="2">
        <v>19201900607</v>
      </c>
      <c r="D259" s="2">
        <v>3.48</v>
      </c>
      <c r="E259" s="571" t="s">
        <v>420</v>
      </c>
      <c r="F259" s="2" t="s">
        <v>589</v>
      </c>
      <c r="G259" s="647"/>
    </row>
    <row r="260" spans="1:7" x14ac:dyDescent="0.25">
      <c r="A260" s="26" t="s">
        <v>1201</v>
      </c>
      <c r="B260" s="27" t="s">
        <v>633</v>
      </c>
      <c r="C260" s="2">
        <v>19201900602</v>
      </c>
      <c r="D260" s="2">
        <v>3.44</v>
      </c>
      <c r="E260" s="571" t="s">
        <v>420</v>
      </c>
      <c r="F260" s="2" t="s">
        <v>590</v>
      </c>
      <c r="G260" s="647"/>
    </row>
    <row r="261" spans="1:7" x14ac:dyDescent="0.25">
      <c r="A261" s="26" t="s">
        <v>1201</v>
      </c>
      <c r="B261" s="27" t="s">
        <v>633</v>
      </c>
      <c r="C261" s="2">
        <v>19201900613</v>
      </c>
      <c r="D261" s="2">
        <v>3.36</v>
      </c>
      <c r="E261" s="571" t="s">
        <v>420</v>
      </c>
      <c r="F261" s="2" t="s">
        <v>591</v>
      </c>
      <c r="G261" s="647"/>
    </row>
    <row r="262" spans="1:7" x14ac:dyDescent="0.25">
      <c r="A262" s="26" t="s">
        <v>1201</v>
      </c>
      <c r="B262" s="27" t="s">
        <v>633</v>
      </c>
      <c r="C262" s="2">
        <v>19201900599</v>
      </c>
      <c r="D262" s="2">
        <v>3.06</v>
      </c>
      <c r="E262" s="571" t="s">
        <v>420</v>
      </c>
      <c r="F262" s="2" t="s">
        <v>592</v>
      </c>
      <c r="G262" s="647"/>
    </row>
    <row r="263" spans="1:7" x14ac:dyDescent="0.25">
      <c r="A263" s="26" t="s">
        <v>1201</v>
      </c>
      <c r="B263" s="27" t="s">
        <v>634</v>
      </c>
      <c r="C263" s="2">
        <v>19201900582</v>
      </c>
      <c r="D263" s="2">
        <v>3.98</v>
      </c>
      <c r="E263" s="569" t="s">
        <v>419</v>
      </c>
      <c r="F263" s="26" t="s">
        <v>578</v>
      </c>
      <c r="G263" s="647"/>
    </row>
    <row r="264" spans="1:7" x14ac:dyDescent="0.25">
      <c r="A264" s="26" t="s">
        <v>1201</v>
      </c>
      <c r="B264" s="27" t="s">
        <v>634</v>
      </c>
      <c r="C264" s="2">
        <v>19201900591</v>
      </c>
      <c r="D264" s="2">
        <v>3.96</v>
      </c>
      <c r="E264" s="569" t="s">
        <v>419</v>
      </c>
      <c r="F264" s="26" t="s">
        <v>579</v>
      </c>
      <c r="G264" s="647"/>
    </row>
    <row r="265" spans="1:7" x14ac:dyDescent="0.25">
      <c r="A265" s="26" t="s">
        <v>1201</v>
      </c>
      <c r="B265" s="27" t="s">
        <v>634</v>
      </c>
      <c r="C265" s="2">
        <v>19201900543</v>
      </c>
      <c r="D265" s="2">
        <v>3.96</v>
      </c>
      <c r="E265" s="569" t="s">
        <v>419</v>
      </c>
      <c r="F265" s="26" t="s">
        <v>580</v>
      </c>
      <c r="G265" s="647"/>
    </row>
    <row r="266" spans="1:7" x14ac:dyDescent="0.25">
      <c r="A266" s="26" t="s">
        <v>1201</v>
      </c>
      <c r="B266" s="27" t="s">
        <v>634</v>
      </c>
      <c r="C266" s="2">
        <v>19201900580</v>
      </c>
      <c r="D266" s="2">
        <v>3.92</v>
      </c>
      <c r="E266" s="569" t="s">
        <v>419</v>
      </c>
      <c r="F266" s="26" t="s">
        <v>581</v>
      </c>
      <c r="G266" s="647"/>
    </row>
    <row r="267" spans="1:7" x14ac:dyDescent="0.25">
      <c r="A267" s="26" t="s">
        <v>1201</v>
      </c>
      <c r="B267" s="27" t="s">
        <v>634</v>
      </c>
      <c r="C267" s="2">
        <v>19201900615</v>
      </c>
      <c r="D267" s="2">
        <v>3.84</v>
      </c>
      <c r="E267" s="569" t="s">
        <v>419</v>
      </c>
      <c r="F267" s="2" t="s">
        <v>582</v>
      </c>
      <c r="G267" s="647"/>
    </row>
    <row r="268" spans="1:7" x14ac:dyDescent="0.25">
      <c r="A268" s="26" t="s">
        <v>1201</v>
      </c>
      <c r="B268" s="27" t="s">
        <v>634</v>
      </c>
      <c r="C268" s="2">
        <v>19201900583</v>
      </c>
      <c r="D268" s="2">
        <v>3.8</v>
      </c>
      <c r="E268" s="569" t="s">
        <v>419</v>
      </c>
      <c r="F268" s="2" t="s">
        <v>583</v>
      </c>
      <c r="G268" s="647"/>
    </row>
    <row r="269" spans="1:7" x14ac:dyDescent="0.25">
      <c r="A269" s="26" t="s">
        <v>1201</v>
      </c>
      <c r="B269" s="27" t="s">
        <v>634</v>
      </c>
      <c r="C269" s="2">
        <v>19201900610</v>
      </c>
      <c r="D269" s="2">
        <v>3.4</v>
      </c>
      <c r="E269" s="571" t="s">
        <v>420</v>
      </c>
      <c r="F269" s="2" t="s">
        <v>584</v>
      </c>
      <c r="G269" s="647"/>
    </row>
    <row r="270" spans="1:7" x14ac:dyDescent="0.25">
      <c r="A270" s="2" t="s">
        <v>1224</v>
      </c>
      <c r="B270" s="27" t="s">
        <v>1223</v>
      </c>
      <c r="C270" s="2">
        <v>19201901043</v>
      </c>
      <c r="D270" s="2">
        <v>4.28</v>
      </c>
      <c r="E270" s="569" t="s">
        <v>419</v>
      </c>
      <c r="F270" s="26" t="s">
        <v>578</v>
      </c>
    </row>
    <row r="271" spans="1:7" x14ac:dyDescent="0.25">
      <c r="A271" s="2" t="s">
        <v>1224</v>
      </c>
      <c r="B271" s="27" t="s">
        <v>1223</v>
      </c>
      <c r="C271" s="2">
        <v>19201901047</v>
      </c>
      <c r="D271" s="2">
        <v>4.01</v>
      </c>
      <c r="E271" s="569" t="s">
        <v>419</v>
      </c>
      <c r="F271" s="26" t="s">
        <v>579</v>
      </c>
    </row>
    <row r="272" spans="1:7" x14ac:dyDescent="0.25">
      <c r="A272" s="2" t="s">
        <v>1224</v>
      </c>
      <c r="B272" s="27" t="s">
        <v>1223</v>
      </c>
      <c r="C272" s="2">
        <v>19201901039</v>
      </c>
      <c r="D272" s="2">
        <v>3.81</v>
      </c>
      <c r="E272" s="569" t="s">
        <v>419</v>
      </c>
      <c r="F272" s="26" t="s">
        <v>580</v>
      </c>
    </row>
    <row r="273" spans="1:7" x14ac:dyDescent="0.25">
      <c r="A273" s="2" t="s">
        <v>1224</v>
      </c>
      <c r="B273" s="27" t="s">
        <v>1223</v>
      </c>
      <c r="C273" s="2">
        <v>19201901049</v>
      </c>
      <c r="D273" s="2">
        <v>3.61</v>
      </c>
      <c r="E273" s="569" t="s">
        <v>419</v>
      </c>
      <c r="F273" s="26" t="s">
        <v>581</v>
      </c>
    </row>
    <row r="274" spans="1:7" x14ac:dyDescent="0.25">
      <c r="A274" s="2" t="s">
        <v>1224</v>
      </c>
      <c r="B274" s="27" t="s">
        <v>1223</v>
      </c>
      <c r="C274" s="2">
        <v>19201901051</v>
      </c>
      <c r="D274" s="2">
        <v>2.63</v>
      </c>
      <c r="E274" s="571" t="s">
        <v>420</v>
      </c>
      <c r="F274" s="2" t="s">
        <v>582</v>
      </c>
    </row>
    <row r="275" spans="1:7" x14ac:dyDescent="0.25">
      <c r="A275" s="2" t="s">
        <v>1224</v>
      </c>
      <c r="B275" s="26" t="s">
        <v>1225</v>
      </c>
      <c r="C275" s="2">
        <v>19201901045</v>
      </c>
      <c r="D275" s="2">
        <v>3.84</v>
      </c>
      <c r="E275" s="569" t="s">
        <v>419</v>
      </c>
      <c r="F275" s="26" t="s">
        <v>578</v>
      </c>
    </row>
    <row r="276" spans="1:7" x14ac:dyDescent="0.25">
      <c r="A276" s="2" t="s">
        <v>1224</v>
      </c>
      <c r="B276" s="26" t="s">
        <v>1225</v>
      </c>
      <c r="C276" s="2">
        <v>19201901046</v>
      </c>
      <c r="D276" s="2">
        <v>3.72</v>
      </c>
      <c r="E276" s="571" t="s">
        <v>420</v>
      </c>
      <c r="F276" s="26" t="s">
        <v>579</v>
      </c>
    </row>
    <row r="277" spans="1:7" x14ac:dyDescent="0.25">
      <c r="A277" s="2" t="s">
        <v>1224</v>
      </c>
      <c r="B277" s="26" t="s">
        <v>1225</v>
      </c>
      <c r="C277" s="2">
        <v>19201901053</v>
      </c>
      <c r="D277" s="2">
        <v>3.48</v>
      </c>
      <c r="E277" s="571" t="s">
        <v>420</v>
      </c>
      <c r="F277" s="26" t="s">
        <v>580</v>
      </c>
    </row>
    <row r="278" spans="1:7" x14ac:dyDescent="0.25">
      <c r="A278" s="2" t="s">
        <v>1224</v>
      </c>
      <c r="B278" s="26" t="s">
        <v>1225</v>
      </c>
      <c r="C278" s="2">
        <v>19201901041</v>
      </c>
      <c r="D278" s="2">
        <v>3.46</v>
      </c>
      <c r="E278" s="571" t="s">
        <v>420</v>
      </c>
      <c r="F278" s="26" t="s">
        <v>581</v>
      </c>
    </row>
    <row r="279" spans="1:7" x14ac:dyDescent="0.25">
      <c r="A279" s="2" t="s">
        <v>1224</v>
      </c>
      <c r="B279" s="26" t="s">
        <v>1225</v>
      </c>
      <c r="C279" s="2">
        <v>19201901050</v>
      </c>
      <c r="D279" s="2">
        <v>2.9</v>
      </c>
      <c r="E279" s="571" t="s">
        <v>420</v>
      </c>
      <c r="F279" s="2" t="s">
        <v>582</v>
      </c>
    </row>
    <row r="280" spans="1:7" x14ac:dyDescent="0.25">
      <c r="A280" s="2" t="s">
        <v>1224</v>
      </c>
      <c r="B280" s="26" t="s">
        <v>1226</v>
      </c>
      <c r="C280" s="2">
        <v>19201901052</v>
      </c>
      <c r="D280" s="2">
        <v>3.88</v>
      </c>
      <c r="E280" s="569" t="s">
        <v>419</v>
      </c>
      <c r="F280" s="26" t="s">
        <v>578</v>
      </c>
    </row>
    <row r="281" spans="1:7" x14ac:dyDescent="0.25">
      <c r="A281" s="2" t="s">
        <v>1224</v>
      </c>
      <c r="B281" s="26" t="s">
        <v>1226</v>
      </c>
      <c r="C281" s="2">
        <v>19201900992</v>
      </c>
      <c r="D281" s="2">
        <v>3</v>
      </c>
      <c r="E281" s="571" t="s">
        <v>420</v>
      </c>
      <c r="F281" s="26" t="s">
        <v>579</v>
      </c>
    </row>
    <row r="282" spans="1:7" x14ac:dyDescent="0.25">
      <c r="A282" s="2" t="s">
        <v>1231</v>
      </c>
      <c r="B282" s="26" t="s">
        <v>631</v>
      </c>
      <c r="C282" s="2">
        <v>19202000093</v>
      </c>
      <c r="D282" s="2">
        <v>4.5999999999999996</v>
      </c>
      <c r="E282" s="569" t="s">
        <v>419</v>
      </c>
      <c r="F282" s="26" t="s">
        <v>578</v>
      </c>
      <c r="G282" s="647"/>
    </row>
    <row r="283" spans="1:7" x14ac:dyDescent="0.25">
      <c r="A283" s="2" t="s">
        <v>1231</v>
      </c>
      <c r="B283" s="26" t="s">
        <v>631</v>
      </c>
      <c r="C283" s="2">
        <v>19202000098</v>
      </c>
      <c r="D283" s="2">
        <v>4.54</v>
      </c>
      <c r="E283" s="569" t="s">
        <v>419</v>
      </c>
      <c r="F283" s="26" t="s">
        <v>579</v>
      </c>
      <c r="G283" s="647"/>
    </row>
    <row r="284" spans="1:7" x14ac:dyDescent="0.25">
      <c r="A284" s="2" t="s">
        <v>1231</v>
      </c>
      <c r="B284" s="26" t="s">
        <v>631</v>
      </c>
      <c r="C284" s="2">
        <v>19202000037</v>
      </c>
      <c r="D284" s="2">
        <v>4.24</v>
      </c>
      <c r="E284" s="569" t="s">
        <v>419</v>
      </c>
      <c r="F284" s="26" t="s">
        <v>580</v>
      </c>
      <c r="G284" s="647"/>
    </row>
    <row r="285" spans="1:7" x14ac:dyDescent="0.25">
      <c r="A285" s="2" t="s">
        <v>1231</v>
      </c>
      <c r="B285" s="26" t="s">
        <v>631</v>
      </c>
      <c r="C285" s="2">
        <v>19202000029</v>
      </c>
      <c r="D285" s="2">
        <v>4.16</v>
      </c>
      <c r="E285" s="569" t="s">
        <v>419</v>
      </c>
      <c r="F285" s="26" t="s">
        <v>581</v>
      </c>
      <c r="G285" s="647"/>
    </row>
    <row r="286" spans="1:7" x14ac:dyDescent="0.25">
      <c r="A286" s="2" t="s">
        <v>1231</v>
      </c>
      <c r="B286" s="26" t="s">
        <v>631</v>
      </c>
      <c r="C286" s="2">
        <v>19202000099</v>
      </c>
      <c r="D286" s="2">
        <v>4.0999999999999996</v>
      </c>
      <c r="E286" s="569" t="s">
        <v>419</v>
      </c>
      <c r="F286" s="2" t="s">
        <v>582</v>
      </c>
      <c r="G286" s="647"/>
    </row>
    <row r="287" spans="1:7" x14ac:dyDescent="0.25">
      <c r="A287" s="2" t="s">
        <v>1231</v>
      </c>
      <c r="B287" s="26" t="s">
        <v>631</v>
      </c>
      <c r="C287" s="2">
        <v>19202000078</v>
      </c>
      <c r="D287" s="2">
        <v>3.74</v>
      </c>
      <c r="E287" s="569" t="s">
        <v>419</v>
      </c>
      <c r="F287" s="646" t="s">
        <v>583</v>
      </c>
      <c r="G287" s="647"/>
    </row>
    <row r="288" spans="1:7" x14ac:dyDescent="0.25">
      <c r="A288" s="2" t="s">
        <v>1231</v>
      </c>
      <c r="B288" s="26" t="s">
        <v>631</v>
      </c>
      <c r="C288" s="2">
        <v>19202000080</v>
      </c>
      <c r="D288" s="2">
        <v>2.8</v>
      </c>
      <c r="E288" s="571" t="s">
        <v>420</v>
      </c>
      <c r="F288" s="646" t="s">
        <v>584</v>
      </c>
      <c r="G288" s="647"/>
    </row>
    <row r="289" spans="1:7" x14ac:dyDescent="0.25">
      <c r="A289" s="2" t="s">
        <v>1231</v>
      </c>
      <c r="B289" s="26" t="s">
        <v>631</v>
      </c>
      <c r="C289" s="2">
        <v>19202000072</v>
      </c>
      <c r="D289" s="2">
        <v>2.74</v>
      </c>
      <c r="E289" s="571" t="s">
        <v>420</v>
      </c>
      <c r="F289" s="646" t="s">
        <v>585</v>
      </c>
      <c r="G289" s="647"/>
    </row>
    <row r="290" spans="1:7" x14ac:dyDescent="0.25">
      <c r="A290" s="2" t="s">
        <v>1231</v>
      </c>
      <c r="B290" s="26" t="s">
        <v>631</v>
      </c>
      <c r="C290" s="2">
        <v>19202000095</v>
      </c>
      <c r="D290" s="2">
        <v>2.1</v>
      </c>
      <c r="E290" s="571" t="s">
        <v>420</v>
      </c>
      <c r="F290" s="646" t="s">
        <v>586</v>
      </c>
      <c r="G290" s="647"/>
    </row>
    <row r="291" spans="1:7" x14ac:dyDescent="0.25">
      <c r="A291" s="2" t="s">
        <v>1231</v>
      </c>
      <c r="B291" s="26" t="s">
        <v>631</v>
      </c>
      <c r="C291" s="2">
        <v>19202000104</v>
      </c>
      <c r="D291" s="2">
        <v>2.06</v>
      </c>
      <c r="E291" s="571" t="s">
        <v>420</v>
      </c>
      <c r="F291" s="646" t="s">
        <v>587</v>
      </c>
      <c r="G291" s="647"/>
    </row>
    <row r="292" spans="1:7" x14ac:dyDescent="0.25">
      <c r="A292" s="2" t="s">
        <v>1231</v>
      </c>
      <c r="B292" s="26" t="s">
        <v>631</v>
      </c>
      <c r="C292" s="2">
        <v>19202000068</v>
      </c>
      <c r="D292" s="2">
        <v>2</v>
      </c>
      <c r="E292" s="571" t="s">
        <v>420</v>
      </c>
      <c r="F292" s="646" t="s">
        <v>588</v>
      </c>
      <c r="G292" s="647"/>
    </row>
    <row r="293" spans="1:7" x14ac:dyDescent="0.25">
      <c r="A293" s="2" t="s">
        <v>1231</v>
      </c>
      <c r="B293" s="26" t="s">
        <v>632</v>
      </c>
      <c r="C293" s="2">
        <v>19202000101</v>
      </c>
      <c r="D293" s="2">
        <v>4.38</v>
      </c>
      <c r="E293" s="569" t="s">
        <v>419</v>
      </c>
      <c r="F293" s="26" t="s">
        <v>578</v>
      </c>
      <c r="G293" s="647"/>
    </row>
    <row r="294" spans="1:7" x14ac:dyDescent="0.25">
      <c r="A294" s="2" t="s">
        <v>1231</v>
      </c>
      <c r="B294" s="26" t="s">
        <v>632</v>
      </c>
      <c r="C294" s="2">
        <v>19202000073</v>
      </c>
      <c r="D294" s="2">
        <v>4.04</v>
      </c>
      <c r="E294" s="569" t="s">
        <v>419</v>
      </c>
      <c r="F294" s="26" t="s">
        <v>579</v>
      </c>
      <c r="G294" s="647"/>
    </row>
    <row r="295" spans="1:7" x14ac:dyDescent="0.25">
      <c r="A295" s="2" t="s">
        <v>1231</v>
      </c>
      <c r="B295" s="26" t="s">
        <v>632</v>
      </c>
      <c r="C295" s="2">
        <v>19202000077</v>
      </c>
      <c r="D295" s="2">
        <v>4.04</v>
      </c>
      <c r="E295" s="569" t="s">
        <v>419</v>
      </c>
      <c r="F295" s="26" t="s">
        <v>580</v>
      </c>
      <c r="G295" s="647"/>
    </row>
    <row r="296" spans="1:7" x14ac:dyDescent="0.25">
      <c r="A296" s="2" t="s">
        <v>1231</v>
      </c>
      <c r="B296" s="26" t="s">
        <v>632</v>
      </c>
      <c r="C296" s="2">
        <v>19202000092</v>
      </c>
      <c r="D296" s="2">
        <v>3.72</v>
      </c>
      <c r="E296" s="569" t="s">
        <v>419</v>
      </c>
      <c r="F296" s="26" t="s">
        <v>581</v>
      </c>
      <c r="G296" s="647"/>
    </row>
    <row r="297" spans="1:7" x14ac:dyDescent="0.25">
      <c r="A297" s="2" t="s">
        <v>1231</v>
      </c>
      <c r="B297" s="26" t="s">
        <v>632</v>
      </c>
      <c r="C297" s="2">
        <v>19202000106</v>
      </c>
      <c r="D297" s="2">
        <v>3.34</v>
      </c>
      <c r="E297" s="571" t="s">
        <v>420</v>
      </c>
      <c r="F297" s="2" t="s">
        <v>582</v>
      </c>
      <c r="G297" s="647"/>
    </row>
    <row r="298" spans="1:7" x14ac:dyDescent="0.25">
      <c r="A298" s="2" t="s">
        <v>1231</v>
      </c>
      <c r="B298" s="26" t="s">
        <v>632</v>
      </c>
      <c r="C298" s="2">
        <v>19202000102</v>
      </c>
      <c r="D298" s="2">
        <v>2.8</v>
      </c>
      <c r="E298" s="571" t="s">
        <v>420</v>
      </c>
      <c r="F298" s="646" t="s">
        <v>583</v>
      </c>
      <c r="G298" s="647"/>
    </row>
    <row r="299" spans="1:7" x14ac:dyDescent="0.25">
      <c r="A299" s="2" t="s">
        <v>1231</v>
      </c>
      <c r="B299" s="26" t="s">
        <v>632</v>
      </c>
      <c r="C299" s="2">
        <v>19202000075</v>
      </c>
      <c r="D299" s="2">
        <v>2.58</v>
      </c>
      <c r="E299" s="571" t="s">
        <v>420</v>
      </c>
      <c r="F299" s="646" t="s">
        <v>584</v>
      </c>
      <c r="G299" s="647"/>
    </row>
    <row r="300" spans="1:7" x14ac:dyDescent="0.25">
      <c r="A300" s="2" t="s">
        <v>1231</v>
      </c>
      <c r="B300" s="26" t="s">
        <v>632</v>
      </c>
      <c r="C300" s="2">
        <v>19202000086</v>
      </c>
      <c r="D300" s="2">
        <v>2.48</v>
      </c>
      <c r="E300" s="571" t="s">
        <v>420</v>
      </c>
      <c r="F300" s="646" t="s">
        <v>585</v>
      </c>
      <c r="G300" s="647"/>
    </row>
    <row r="301" spans="1:7" x14ac:dyDescent="0.25">
      <c r="A301" s="2" t="s">
        <v>1231</v>
      </c>
      <c r="B301" s="26" t="s">
        <v>632</v>
      </c>
      <c r="C301" s="2">
        <v>19202000067</v>
      </c>
      <c r="D301" s="2">
        <v>2.44</v>
      </c>
      <c r="E301" s="571" t="s">
        <v>420</v>
      </c>
      <c r="F301" s="646" t="s">
        <v>586</v>
      </c>
      <c r="G301" s="647"/>
    </row>
    <row r="302" spans="1:7" x14ac:dyDescent="0.25">
      <c r="A302" s="2" t="s">
        <v>1231</v>
      </c>
      <c r="B302" s="26" t="s">
        <v>633</v>
      </c>
      <c r="C302" s="2">
        <v>19202000085</v>
      </c>
      <c r="D302" s="2">
        <v>4.28</v>
      </c>
      <c r="E302" s="569" t="s">
        <v>419</v>
      </c>
      <c r="F302" s="26" t="s">
        <v>578</v>
      </c>
      <c r="G302" s="647"/>
    </row>
    <row r="303" spans="1:7" x14ac:dyDescent="0.25">
      <c r="A303" s="2" t="s">
        <v>1231</v>
      </c>
      <c r="B303" s="26" t="s">
        <v>633</v>
      </c>
      <c r="C303" s="2">
        <v>19202000094</v>
      </c>
      <c r="D303" s="2">
        <v>4.08</v>
      </c>
      <c r="E303" s="569" t="s">
        <v>419</v>
      </c>
      <c r="F303" s="26" t="s">
        <v>579</v>
      </c>
      <c r="G303" s="647"/>
    </row>
    <row r="304" spans="1:7" x14ac:dyDescent="0.25">
      <c r="A304" s="2" t="s">
        <v>1231</v>
      </c>
      <c r="B304" s="26" t="s">
        <v>633</v>
      </c>
      <c r="C304" s="2">
        <v>19202000087</v>
      </c>
      <c r="D304" s="2">
        <v>3.9</v>
      </c>
      <c r="E304" s="569" t="s">
        <v>419</v>
      </c>
      <c r="F304" s="26" t="s">
        <v>580</v>
      </c>
      <c r="G304" s="647"/>
    </row>
    <row r="305" spans="1:7" x14ac:dyDescent="0.25">
      <c r="A305" s="2" t="s">
        <v>1231</v>
      </c>
      <c r="B305" s="26" t="s">
        <v>633</v>
      </c>
      <c r="C305" s="2">
        <v>19202000088</v>
      </c>
      <c r="D305" s="2">
        <v>3.9</v>
      </c>
      <c r="E305" s="569" t="s">
        <v>419</v>
      </c>
      <c r="F305" s="26" t="s">
        <v>581</v>
      </c>
      <c r="G305" s="647"/>
    </row>
    <row r="306" spans="1:7" x14ac:dyDescent="0.25">
      <c r="A306" s="2" t="s">
        <v>1231</v>
      </c>
      <c r="B306" s="26" t="s">
        <v>633</v>
      </c>
      <c r="C306" s="2">
        <v>19202000032</v>
      </c>
      <c r="D306" s="2">
        <v>3.84</v>
      </c>
      <c r="E306" s="569" t="s">
        <v>419</v>
      </c>
      <c r="F306" s="2" t="s">
        <v>582</v>
      </c>
      <c r="G306" s="647"/>
    </row>
    <row r="307" spans="1:7" x14ac:dyDescent="0.25">
      <c r="A307" s="2" t="s">
        <v>1231</v>
      </c>
      <c r="B307" s="26" t="s">
        <v>633</v>
      </c>
      <c r="C307" s="2">
        <v>19202000110</v>
      </c>
      <c r="D307" s="2">
        <v>3.76</v>
      </c>
      <c r="E307" s="569" t="s">
        <v>419</v>
      </c>
      <c r="F307" s="26" t="s">
        <v>583</v>
      </c>
      <c r="G307" s="647"/>
    </row>
    <row r="308" spans="1:7" x14ac:dyDescent="0.25">
      <c r="A308" s="2" t="s">
        <v>1231</v>
      </c>
      <c r="B308" s="26" t="s">
        <v>633</v>
      </c>
      <c r="C308" s="2">
        <v>19202000111</v>
      </c>
      <c r="D308" s="2">
        <v>3.72</v>
      </c>
      <c r="E308" s="571" t="s">
        <v>420</v>
      </c>
      <c r="F308" s="26" t="s">
        <v>584</v>
      </c>
      <c r="G308" s="647"/>
    </row>
    <row r="309" spans="1:7" x14ac:dyDescent="0.25">
      <c r="A309" s="2" t="s">
        <v>1231</v>
      </c>
      <c r="B309" s="26" t="s">
        <v>633</v>
      </c>
      <c r="C309" s="2">
        <v>19202000079</v>
      </c>
      <c r="D309" s="2">
        <v>3.7</v>
      </c>
      <c r="E309" s="571" t="s">
        <v>420</v>
      </c>
      <c r="F309" s="26" t="s">
        <v>585</v>
      </c>
      <c r="G309" s="647"/>
    </row>
    <row r="310" spans="1:7" x14ac:dyDescent="0.25">
      <c r="A310" s="2" t="s">
        <v>1231</v>
      </c>
      <c r="B310" s="26" t="s">
        <v>633</v>
      </c>
      <c r="C310" s="2">
        <v>19202000069</v>
      </c>
      <c r="D310" s="2">
        <v>3.62</v>
      </c>
      <c r="E310" s="571" t="s">
        <v>420</v>
      </c>
      <c r="F310" s="26" t="s">
        <v>586</v>
      </c>
      <c r="G310" s="647"/>
    </row>
    <row r="311" spans="1:7" x14ac:dyDescent="0.25">
      <c r="A311" s="2" t="s">
        <v>1231</v>
      </c>
      <c r="B311" s="26" t="s">
        <v>633</v>
      </c>
      <c r="C311" s="2">
        <v>19202000096</v>
      </c>
      <c r="D311" s="2">
        <v>3.58</v>
      </c>
      <c r="E311" s="571" t="s">
        <v>420</v>
      </c>
      <c r="F311" s="26" t="s">
        <v>587</v>
      </c>
      <c r="G311" s="647"/>
    </row>
    <row r="312" spans="1:7" x14ac:dyDescent="0.25">
      <c r="A312" s="2" t="s">
        <v>1231</v>
      </c>
      <c r="B312" s="26" t="s">
        <v>633</v>
      </c>
      <c r="C312" s="2">
        <v>19202000090</v>
      </c>
      <c r="D312" s="2">
        <v>3.52</v>
      </c>
      <c r="E312" s="571" t="s">
        <v>420</v>
      </c>
      <c r="F312" s="26" t="s">
        <v>588</v>
      </c>
      <c r="G312" s="647"/>
    </row>
    <row r="313" spans="1:7" x14ac:dyDescent="0.25">
      <c r="A313" s="2" t="s">
        <v>1231</v>
      </c>
      <c r="B313" s="26" t="s">
        <v>633</v>
      </c>
      <c r="C313" s="2">
        <v>19202000074</v>
      </c>
      <c r="D313" s="2">
        <v>3.5</v>
      </c>
      <c r="E313" s="571" t="s">
        <v>420</v>
      </c>
      <c r="F313" s="26" t="s">
        <v>589</v>
      </c>
      <c r="G313" s="647"/>
    </row>
    <row r="314" spans="1:7" x14ac:dyDescent="0.25">
      <c r="A314" s="2" t="s">
        <v>1231</v>
      </c>
      <c r="B314" s="26" t="s">
        <v>633</v>
      </c>
      <c r="C314" s="2">
        <v>19202000100</v>
      </c>
      <c r="D314" s="2">
        <v>3.46</v>
      </c>
      <c r="E314" s="571" t="s">
        <v>420</v>
      </c>
      <c r="F314" s="26" t="s">
        <v>590</v>
      </c>
      <c r="G314" s="647"/>
    </row>
    <row r="315" spans="1:7" x14ac:dyDescent="0.25">
      <c r="A315" s="2" t="s">
        <v>1231</v>
      </c>
      <c r="B315" s="26" t="s">
        <v>633</v>
      </c>
      <c r="C315" s="2">
        <v>19202000108</v>
      </c>
      <c r="D315" s="2">
        <v>3.46</v>
      </c>
      <c r="E315" s="571" t="s">
        <v>420</v>
      </c>
      <c r="F315" s="26" t="s">
        <v>591</v>
      </c>
      <c r="G315" s="647"/>
    </row>
    <row r="316" spans="1:7" x14ac:dyDescent="0.25">
      <c r="A316" s="2" t="s">
        <v>1231</v>
      </c>
      <c r="B316" s="26" t="s">
        <v>633</v>
      </c>
      <c r="C316" s="2">
        <v>19202000103</v>
      </c>
      <c r="D316" s="2">
        <v>3.42</v>
      </c>
      <c r="E316" s="571" t="s">
        <v>420</v>
      </c>
      <c r="F316" s="26" t="s">
        <v>592</v>
      </c>
      <c r="G316" s="647"/>
    </row>
    <row r="317" spans="1:7" x14ac:dyDescent="0.25">
      <c r="A317" s="2" t="s">
        <v>1231</v>
      </c>
      <c r="B317" s="26" t="s">
        <v>633</v>
      </c>
      <c r="C317" s="2">
        <v>19202000083</v>
      </c>
      <c r="D317" s="2">
        <v>2.74</v>
      </c>
      <c r="E317" s="571" t="s">
        <v>420</v>
      </c>
      <c r="F317" s="26" t="s">
        <v>593</v>
      </c>
      <c r="G317" s="647"/>
    </row>
    <row r="318" spans="1:7" x14ac:dyDescent="0.25">
      <c r="A318" s="2" t="s">
        <v>1231</v>
      </c>
      <c r="B318" s="26" t="s">
        <v>634</v>
      </c>
      <c r="C318" s="2">
        <v>19202000070</v>
      </c>
      <c r="D318" s="2">
        <v>4.0599999999999996</v>
      </c>
      <c r="E318" s="569" t="s">
        <v>419</v>
      </c>
      <c r="F318" s="26" t="s">
        <v>578</v>
      </c>
      <c r="G318" s="647"/>
    </row>
    <row r="319" spans="1:7" x14ac:dyDescent="0.25">
      <c r="A319" s="2" t="s">
        <v>1231</v>
      </c>
      <c r="B319" s="26" t="s">
        <v>634</v>
      </c>
      <c r="C319" s="2">
        <v>19202000109</v>
      </c>
      <c r="D319" s="2">
        <v>3.94</v>
      </c>
      <c r="E319" s="569" t="s">
        <v>419</v>
      </c>
      <c r="F319" s="26" t="s">
        <v>579</v>
      </c>
      <c r="G319" s="647"/>
    </row>
    <row r="320" spans="1:7" x14ac:dyDescent="0.25">
      <c r="A320" s="2" t="s">
        <v>1231</v>
      </c>
      <c r="B320" s="26" t="s">
        <v>634</v>
      </c>
      <c r="C320" s="2">
        <v>19202000091</v>
      </c>
      <c r="D320" s="2">
        <v>3.82</v>
      </c>
      <c r="E320" s="569" t="s">
        <v>419</v>
      </c>
      <c r="F320" s="26" t="s">
        <v>580</v>
      </c>
      <c r="G320" s="647"/>
    </row>
    <row r="321" spans="1:7" x14ac:dyDescent="0.25">
      <c r="A321" s="2" t="s">
        <v>1231</v>
      </c>
      <c r="B321" s="26" t="s">
        <v>634</v>
      </c>
      <c r="C321" s="2">
        <v>19202000076</v>
      </c>
      <c r="D321" s="2">
        <v>3.68</v>
      </c>
      <c r="E321" s="569" t="s">
        <v>419</v>
      </c>
      <c r="F321" s="26" t="s">
        <v>581</v>
      </c>
      <c r="G321" s="647"/>
    </row>
    <row r="322" spans="1:7" x14ac:dyDescent="0.25">
      <c r="A322" s="2" t="s">
        <v>1231</v>
      </c>
      <c r="B322" s="26" t="s">
        <v>634</v>
      </c>
      <c r="C322" s="2">
        <v>19202000105</v>
      </c>
      <c r="D322" s="2">
        <v>3.58</v>
      </c>
      <c r="E322" s="569" t="s">
        <v>419</v>
      </c>
      <c r="F322" s="2" t="s">
        <v>582</v>
      </c>
      <c r="G322" s="647"/>
    </row>
    <row r="323" spans="1:7" x14ac:dyDescent="0.25">
      <c r="A323" s="2" t="s">
        <v>1231</v>
      </c>
      <c r="B323" s="26" t="s">
        <v>634</v>
      </c>
      <c r="C323" s="2">
        <v>19202000081</v>
      </c>
      <c r="D323" s="2">
        <v>3.4</v>
      </c>
      <c r="E323" s="569" t="s">
        <v>419</v>
      </c>
      <c r="F323" s="26" t="s">
        <v>583</v>
      </c>
      <c r="G323" s="647"/>
    </row>
    <row r="324" spans="1:7" x14ac:dyDescent="0.25">
      <c r="A324" s="2" t="s">
        <v>1231</v>
      </c>
      <c r="B324" s="26" t="s">
        <v>634</v>
      </c>
      <c r="C324" s="2">
        <v>19202000107</v>
      </c>
      <c r="D324" s="2">
        <v>3.28</v>
      </c>
      <c r="E324" s="571" t="s">
        <v>420</v>
      </c>
      <c r="F324" s="26" t="s">
        <v>584</v>
      </c>
      <c r="G324" s="647"/>
    </row>
    <row r="325" spans="1:7" x14ac:dyDescent="0.25">
      <c r="A325" s="2" t="s">
        <v>1231</v>
      </c>
      <c r="B325" s="26" t="s">
        <v>634</v>
      </c>
      <c r="C325" s="2">
        <v>19202000089</v>
      </c>
      <c r="D325" s="2">
        <v>3.16</v>
      </c>
      <c r="E325" s="571" t="s">
        <v>420</v>
      </c>
      <c r="F325" s="26" t="s">
        <v>585</v>
      </c>
      <c r="G325" s="647"/>
    </row>
    <row r="326" spans="1:7" x14ac:dyDescent="0.25">
      <c r="A326" s="2" t="s">
        <v>1231</v>
      </c>
      <c r="B326" s="26" t="s">
        <v>634</v>
      </c>
      <c r="C326" s="2">
        <v>19202000082</v>
      </c>
      <c r="D326" s="2">
        <v>3.04</v>
      </c>
      <c r="E326" s="571" t="s">
        <v>420</v>
      </c>
      <c r="F326" s="26" t="s">
        <v>586</v>
      </c>
      <c r="G326" s="647"/>
    </row>
    <row r="327" spans="1:7" x14ac:dyDescent="0.25">
      <c r="A327" s="2" t="s">
        <v>1416</v>
      </c>
      <c r="B327" s="2" t="s">
        <v>1417</v>
      </c>
      <c r="C327" s="2">
        <v>19202100910</v>
      </c>
      <c r="D327" s="2">
        <v>4.5199999999999996</v>
      </c>
      <c r="E327" s="569" t="s">
        <v>419</v>
      </c>
      <c r="F327" s="2"/>
    </row>
    <row r="328" spans="1:7" x14ac:dyDescent="0.25">
      <c r="A328" s="2" t="s">
        <v>1416</v>
      </c>
      <c r="B328" s="2" t="s">
        <v>1417</v>
      </c>
      <c r="C328" s="2">
        <v>19202100928</v>
      </c>
      <c r="D328" s="2">
        <v>4.5199999999999996</v>
      </c>
      <c r="E328" s="569" t="s">
        <v>419</v>
      </c>
      <c r="F328" s="2"/>
    </row>
    <row r="329" spans="1:7" x14ac:dyDescent="0.25">
      <c r="A329" s="2" t="s">
        <v>1416</v>
      </c>
      <c r="B329" s="2" t="s">
        <v>1417</v>
      </c>
      <c r="C329" s="2">
        <v>19202100925</v>
      </c>
      <c r="D329" s="2">
        <v>4.47</v>
      </c>
      <c r="E329" s="569" t="s">
        <v>419</v>
      </c>
      <c r="F329" s="2"/>
    </row>
    <row r="330" spans="1:7" x14ac:dyDescent="0.25">
      <c r="A330" s="2" t="s">
        <v>1416</v>
      </c>
      <c r="B330" s="2" t="s">
        <v>1417</v>
      </c>
      <c r="C330" s="2">
        <v>19202100930</v>
      </c>
      <c r="D330" s="2">
        <v>4.46</v>
      </c>
      <c r="E330" s="569" t="s">
        <v>419</v>
      </c>
      <c r="F330" s="2"/>
    </row>
    <row r="331" spans="1:7" x14ac:dyDescent="0.25">
      <c r="A331" s="2" t="s">
        <v>1416</v>
      </c>
      <c r="B331" s="2" t="s">
        <v>1417</v>
      </c>
      <c r="C331" s="2">
        <v>19202100915</v>
      </c>
      <c r="D331" s="2">
        <v>4.43</v>
      </c>
      <c r="E331" s="569" t="s">
        <v>419</v>
      </c>
      <c r="F331" s="2"/>
    </row>
    <row r="332" spans="1:7" x14ac:dyDescent="0.25">
      <c r="A332" s="2" t="s">
        <v>1416</v>
      </c>
      <c r="B332" s="2" t="s">
        <v>1417</v>
      </c>
      <c r="C332" s="2">
        <v>19202100964</v>
      </c>
      <c r="D332" s="2">
        <v>2.94</v>
      </c>
      <c r="E332" s="571" t="s">
        <v>420</v>
      </c>
      <c r="F332" s="2"/>
    </row>
    <row r="333" spans="1:7" x14ac:dyDescent="0.25">
      <c r="A333" s="2" t="s">
        <v>1416</v>
      </c>
      <c r="B333" s="2" t="s">
        <v>1417</v>
      </c>
      <c r="C333" s="2">
        <v>19202100926</v>
      </c>
      <c r="D333" s="2">
        <v>2.93</v>
      </c>
      <c r="E333" s="571" t="s">
        <v>420</v>
      </c>
      <c r="F333" s="2"/>
    </row>
    <row r="334" spans="1:7" x14ac:dyDescent="0.25">
      <c r="A334" s="2" t="s">
        <v>1416</v>
      </c>
      <c r="B334" s="2" t="s">
        <v>1417</v>
      </c>
      <c r="C334" s="2">
        <v>19202100922</v>
      </c>
      <c r="D334" s="2">
        <v>2.76</v>
      </c>
      <c r="E334" s="571" t="s">
        <v>420</v>
      </c>
      <c r="F334" s="2"/>
    </row>
    <row r="335" spans="1:7" x14ac:dyDescent="0.25">
      <c r="A335" s="2" t="s">
        <v>1416</v>
      </c>
      <c r="B335" s="2" t="s">
        <v>1417</v>
      </c>
      <c r="C335" s="2">
        <v>19202100877</v>
      </c>
      <c r="D335" s="2">
        <v>2.72</v>
      </c>
      <c r="E335" s="571" t="s">
        <v>420</v>
      </c>
      <c r="F335" s="2"/>
    </row>
    <row r="336" spans="1:7" x14ac:dyDescent="0.25">
      <c r="A336" s="2" t="s">
        <v>1416</v>
      </c>
      <c r="B336" s="2" t="s">
        <v>1418</v>
      </c>
      <c r="C336" s="2">
        <v>19202100929</v>
      </c>
      <c r="D336" s="2">
        <v>4.68</v>
      </c>
      <c r="E336" s="569" t="s">
        <v>419</v>
      </c>
      <c r="F336" s="2"/>
    </row>
    <row r="337" spans="1:6" x14ac:dyDescent="0.25">
      <c r="A337" s="2" t="s">
        <v>1416</v>
      </c>
      <c r="B337" s="2" t="s">
        <v>1418</v>
      </c>
      <c r="C337" s="2">
        <v>19202100937</v>
      </c>
      <c r="D337" s="2">
        <v>4.63</v>
      </c>
      <c r="E337" s="569" t="s">
        <v>419</v>
      </c>
      <c r="F337" s="2"/>
    </row>
    <row r="338" spans="1:6" x14ac:dyDescent="0.25">
      <c r="A338" s="2" t="s">
        <v>1416</v>
      </c>
      <c r="B338" s="2" t="s">
        <v>1418</v>
      </c>
      <c r="C338" s="2">
        <v>19202100957</v>
      </c>
      <c r="D338" s="2">
        <v>4.58</v>
      </c>
      <c r="E338" s="569" t="s">
        <v>419</v>
      </c>
      <c r="F338" s="2"/>
    </row>
    <row r="339" spans="1:6" x14ac:dyDescent="0.25">
      <c r="A339" s="2" t="s">
        <v>1416</v>
      </c>
      <c r="B339" s="2" t="s">
        <v>1418</v>
      </c>
      <c r="C339" s="2">
        <v>19202100952</v>
      </c>
      <c r="D339" s="2">
        <v>4.57</v>
      </c>
      <c r="E339" s="569" t="s">
        <v>419</v>
      </c>
      <c r="F339" s="2"/>
    </row>
    <row r="340" spans="1:6" x14ac:dyDescent="0.25">
      <c r="A340" s="2" t="s">
        <v>1416</v>
      </c>
      <c r="B340" s="2" t="s">
        <v>1418</v>
      </c>
      <c r="C340" s="2">
        <v>19202100948</v>
      </c>
      <c r="D340" s="2">
        <v>4.32</v>
      </c>
      <c r="E340" s="569" t="s">
        <v>419</v>
      </c>
      <c r="F340" s="2"/>
    </row>
    <row r="341" spans="1:6" x14ac:dyDescent="0.25">
      <c r="A341" s="2" t="s">
        <v>1416</v>
      </c>
      <c r="B341" s="2" t="s">
        <v>1418</v>
      </c>
      <c r="C341" s="2">
        <v>19202100920</v>
      </c>
      <c r="D341" s="2">
        <v>4.25</v>
      </c>
      <c r="E341" s="571" t="s">
        <v>420</v>
      </c>
      <c r="F341" s="2"/>
    </row>
    <row r="342" spans="1:6" x14ac:dyDescent="0.25">
      <c r="A342" s="2" t="s">
        <v>1416</v>
      </c>
      <c r="B342" s="2" t="s">
        <v>1418</v>
      </c>
      <c r="C342" s="2">
        <v>19202100956</v>
      </c>
      <c r="D342" s="2">
        <v>4.21</v>
      </c>
      <c r="E342" s="571" t="s">
        <v>420</v>
      </c>
      <c r="F342" s="2"/>
    </row>
    <row r="343" spans="1:6" x14ac:dyDescent="0.25">
      <c r="A343" s="2" t="s">
        <v>1416</v>
      </c>
      <c r="B343" s="2" t="s">
        <v>1418</v>
      </c>
      <c r="C343" s="2">
        <v>19202100936</v>
      </c>
      <c r="D343" s="2">
        <v>4.18</v>
      </c>
      <c r="E343" s="571" t="s">
        <v>420</v>
      </c>
      <c r="F343" s="2"/>
    </row>
    <row r="344" spans="1:6" x14ac:dyDescent="0.25">
      <c r="A344" s="2" t="s">
        <v>1416</v>
      </c>
      <c r="B344" s="2" t="s">
        <v>1418</v>
      </c>
      <c r="C344" s="2">
        <v>19202100921</v>
      </c>
      <c r="D344" s="2">
        <v>4.1500000000000004</v>
      </c>
      <c r="E344" s="571" t="s">
        <v>420</v>
      </c>
      <c r="F344" s="2"/>
    </row>
    <row r="345" spans="1:6" x14ac:dyDescent="0.25">
      <c r="A345" s="2" t="s">
        <v>1416</v>
      </c>
      <c r="B345" s="2" t="s">
        <v>1418</v>
      </c>
      <c r="C345" s="2">
        <v>19202100934</v>
      </c>
      <c r="D345" s="2">
        <v>4.03</v>
      </c>
      <c r="E345" s="571" t="s">
        <v>420</v>
      </c>
      <c r="F345" s="2"/>
    </row>
    <row r="346" spans="1:6" x14ac:dyDescent="0.25">
      <c r="A346" s="2" t="s">
        <v>1416</v>
      </c>
      <c r="B346" s="2" t="s">
        <v>1418</v>
      </c>
      <c r="C346" s="2">
        <v>19202100963</v>
      </c>
      <c r="D346" s="2">
        <v>4.01</v>
      </c>
      <c r="E346" s="571" t="s">
        <v>420</v>
      </c>
      <c r="F346" s="2"/>
    </row>
    <row r="347" spans="1:6" x14ac:dyDescent="0.25">
      <c r="A347" s="2" t="s">
        <v>1416</v>
      </c>
      <c r="B347" s="2" t="s">
        <v>1418</v>
      </c>
      <c r="C347" s="2">
        <v>19202100941</v>
      </c>
      <c r="D347" s="2">
        <v>3.94</v>
      </c>
      <c r="E347" s="571" t="s">
        <v>420</v>
      </c>
      <c r="F347" s="2"/>
    </row>
    <row r="348" spans="1:6" x14ac:dyDescent="0.25">
      <c r="A348" s="2" t="s">
        <v>1416</v>
      </c>
      <c r="B348" s="2" t="s">
        <v>1418</v>
      </c>
      <c r="C348" s="2">
        <v>19202100949</v>
      </c>
      <c r="D348" s="2">
        <v>3.91</v>
      </c>
      <c r="E348" s="571" t="s">
        <v>420</v>
      </c>
      <c r="F348" s="2"/>
    </row>
    <row r="349" spans="1:6" x14ac:dyDescent="0.25">
      <c r="A349" s="2" t="s">
        <v>1416</v>
      </c>
      <c r="B349" s="2" t="s">
        <v>1418</v>
      </c>
      <c r="C349" s="2">
        <v>19202100935</v>
      </c>
      <c r="D349" s="2">
        <v>3.89</v>
      </c>
      <c r="E349" s="571" t="s">
        <v>420</v>
      </c>
      <c r="F349" s="2"/>
    </row>
    <row r="350" spans="1:6" x14ac:dyDescent="0.25">
      <c r="A350" s="2" t="s">
        <v>1416</v>
      </c>
      <c r="B350" s="2" t="s">
        <v>1418</v>
      </c>
      <c r="C350" s="2">
        <v>19202100914</v>
      </c>
      <c r="D350" s="2">
        <v>3.81</v>
      </c>
      <c r="E350" s="571" t="s">
        <v>420</v>
      </c>
      <c r="F350" s="2"/>
    </row>
    <row r="351" spans="1:6" x14ac:dyDescent="0.25">
      <c r="A351" s="2" t="s">
        <v>1416</v>
      </c>
      <c r="B351" s="2" t="s">
        <v>1418</v>
      </c>
      <c r="C351" s="2">
        <v>19202100959</v>
      </c>
      <c r="D351" s="2">
        <v>3.75</v>
      </c>
      <c r="E351" s="571" t="s">
        <v>420</v>
      </c>
      <c r="F351" s="2"/>
    </row>
    <row r="352" spans="1:6" x14ac:dyDescent="0.25">
      <c r="A352" s="2" t="s">
        <v>1416</v>
      </c>
      <c r="B352" s="2" t="s">
        <v>1418</v>
      </c>
      <c r="C352" s="2">
        <v>19202100961</v>
      </c>
      <c r="D352" s="2">
        <v>3.7</v>
      </c>
      <c r="E352" s="571" t="s">
        <v>420</v>
      </c>
      <c r="F352" s="2"/>
    </row>
    <row r="353" spans="1:6" x14ac:dyDescent="0.25">
      <c r="A353" s="2" t="s">
        <v>1416</v>
      </c>
      <c r="B353" s="2" t="s">
        <v>1418</v>
      </c>
      <c r="C353" s="2">
        <v>19202100943</v>
      </c>
      <c r="D353" s="2">
        <v>3.66</v>
      </c>
      <c r="E353" s="571" t="s">
        <v>420</v>
      </c>
      <c r="F353" s="2"/>
    </row>
    <row r="354" spans="1:6" x14ac:dyDescent="0.25">
      <c r="A354" s="2" t="s">
        <v>1416</v>
      </c>
      <c r="B354" s="2" t="s">
        <v>1418</v>
      </c>
      <c r="C354" s="2">
        <v>19202100900</v>
      </c>
      <c r="D354" s="2">
        <v>3.51</v>
      </c>
      <c r="E354" s="571" t="s">
        <v>420</v>
      </c>
      <c r="F354" s="2"/>
    </row>
    <row r="355" spans="1:6" x14ac:dyDescent="0.25">
      <c r="A355" s="2" t="s">
        <v>1416</v>
      </c>
      <c r="B355" s="2" t="s">
        <v>1418</v>
      </c>
      <c r="C355" s="2">
        <v>19202100955</v>
      </c>
      <c r="D355" s="2">
        <v>3.42</v>
      </c>
      <c r="E355" s="571" t="s">
        <v>420</v>
      </c>
      <c r="F355" s="2"/>
    </row>
    <row r="356" spans="1:6" x14ac:dyDescent="0.25">
      <c r="A356" s="179" t="s">
        <v>1416</v>
      </c>
      <c r="B356" s="647" t="s">
        <v>1419</v>
      </c>
      <c r="C356" s="179">
        <v>19202100878</v>
      </c>
      <c r="D356" s="179">
        <v>4.84</v>
      </c>
      <c r="E356" s="827" t="s">
        <v>419</v>
      </c>
      <c r="F356" s="179"/>
    </row>
    <row r="357" spans="1:6" x14ac:dyDescent="0.25">
      <c r="A357" s="2" t="s">
        <v>1416</v>
      </c>
      <c r="B357" s="2" t="s">
        <v>1419</v>
      </c>
      <c r="C357" s="2">
        <v>19202100861</v>
      </c>
      <c r="D357" s="2">
        <v>4.49</v>
      </c>
      <c r="E357" s="569" t="s">
        <v>419</v>
      </c>
      <c r="F357" s="2"/>
    </row>
    <row r="358" spans="1:6" x14ac:dyDescent="0.25">
      <c r="A358" s="2" t="s">
        <v>1416</v>
      </c>
      <c r="B358" s="2" t="s">
        <v>1419</v>
      </c>
      <c r="C358" s="2">
        <v>19202100916</v>
      </c>
      <c r="D358" s="2">
        <v>4.34</v>
      </c>
      <c r="E358" s="569" t="s">
        <v>419</v>
      </c>
      <c r="F358" s="2"/>
    </row>
    <row r="359" spans="1:6" x14ac:dyDescent="0.25">
      <c r="A359" s="2" t="s">
        <v>1416</v>
      </c>
      <c r="B359" s="2" t="s">
        <v>1419</v>
      </c>
      <c r="C359" s="2">
        <v>19202100962</v>
      </c>
      <c r="D359" s="2">
        <v>4.29</v>
      </c>
      <c r="E359" s="569" t="s">
        <v>419</v>
      </c>
      <c r="F359" s="2"/>
    </row>
    <row r="360" spans="1:6" x14ac:dyDescent="0.25">
      <c r="A360" s="2" t="s">
        <v>1416</v>
      </c>
      <c r="B360" s="2" t="s">
        <v>1419</v>
      </c>
      <c r="C360" s="2">
        <v>19202100950</v>
      </c>
      <c r="D360" s="2">
        <v>3.87</v>
      </c>
      <c r="E360" s="569" t="s">
        <v>419</v>
      </c>
      <c r="F360" s="2"/>
    </row>
    <row r="361" spans="1:6" x14ac:dyDescent="0.25">
      <c r="A361" s="2" t="s">
        <v>1416</v>
      </c>
      <c r="B361" s="2" t="s">
        <v>1419</v>
      </c>
      <c r="C361" s="2">
        <v>19202100847</v>
      </c>
      <c r="D361" s="2">
        <v>3.81</v>
      </c>
      <c r="E361" s="569" t="s">
        <v>419</v>
      </c>
      <c r="F361" s="2"/>
    </row>
    <row r="362" spans="1:6" x14ac:dyDescent="0.25">
      <c r="A362" s="2" t="s">
        <v>1416</v>
      </c>
      <c r="B362" s="2" t="s">
        <v>1419</v>
      </c>
      <c r="C362" s="2">
        <v>19202100960</v>
      </c>
      <c r="D362" s="2">
        <v>3.5</v>
      </c>
      <c r="E362" s="569" t="s">
        <v>419</v>
      </c>
      <c r="F362" s="2"/>
    </row>
    <row r="363" spans="1:6" x14ac:dyDescent="0.25">
      <c r="A363" s="2" t="s">
        <v>1416</v>
      </c>
      <c r="B363" s="2" t="s">
        <v>1419</v>
      </c>
      <c r="C363" s="2">
        <v>19202100909</v>
      </c>
      <c r="D363" s="2">
        <v>3.06</v>
      </c>
      <c r="E363" s="571" t="s">
        <v>420</v>
      </c>
      <c r="F363" s="2"/>
    </row>
    <row r="364" spans="1:6" x14ac:dyDescent="0.25">
      <c r="A364" s="2" t="s">
        <v>1416</v>
      </c>
      <c r="B364" s="2" t="s">
        <v>1419</v>
      </c>
      <c r="C364" s="2">
        <v>19202100931</v>
      </c>
      <c r="D364" s="2">
        <v>2.62</v>
      </c>
      <c r="E364" s="571" t="s">
        <v>420</v>
      </c>
      <c r="F364" s="2"/>
    </row>
    <row r="365" spans="1:6" x14ac:dyDescent="0.25">
      <c r="A365" s="2" t="s">
        <v>1416</v>
      </c>
      <c r="B365" s="2" t="s">
        <v>1420</v>
      </c>
      <c r="C365" s="2">
        <v>19202100918</v>
      </c>
      <c r="D365" s="2">
        <v>4.29</v>
      </c>
      <c r="E365" s="569" t="s">
        <v>419</v>
      </c>
      <c r="F365" s="2"/>
    </row>
    <row r="366" spans="1:6" x14ac:dyDescent="0.25">
      <c r="A366" s="2" t="s">
        <v>1416</v>
      </c>
      <c r="B366" s="2" t="s">
        <v>1420</v>
      </c>
      <c r="C366" s="2">
        <v>19202100953</v>
      </c>
      <c r="D366" s="2">
        <v>4.1399999999999997</v>
      </c>
      <c r="E366" s="569" t="s">
        <v>419</v>
      </c>
      <c r="F366" s="2"/>
    </row>
    <row r="367" spans="1:6" x14ac:dyDescent="0.25">
      <c r="A367" s="2" t="s">
        <v>1416</v>
      </c>
      <c r="B367" s="2" t="s">
        <v>1420</v>
      </c>
      <c r="C367" s="2">
        <v>19202100947</v>
      </c>
      <c r="D367" s="2">
        <v>3.9</v>
      </c>
      <c r="E367" s="569" t="s">
        <v>419</v>
      </c>
      <c r="F367" s="2"/>
    </row>
    <row r="368" spans="1:6" x14ac:dyDescent="0.25">
      <c r="A368" s="2" t="s">
        <v>1416</v>
      </c>
      <c r="B368" s="2" t="s">
        <v>1420</v>
      </c>
      <c r="C368" s="2">
        <v>19202100945</v>
      </c>
      <c r="D368" s="2">
        <v>3.77</v>
      </c>
      <c r="E368" s="569" t="s">
        <v>419</v>
      </c>
      <c r="F368" s="2"/>
    </row>
    <row r="369" spans="1:6" x14ac:dyDescent="0.25">
      <c r="A369" s="2" t="s">
        <v>1416</v>
      </c>
      <c r="B369" s="2" t="s">
        <v>1421</v>
      </c>
      <c r="C369" s="2"/>
      <c r="D369" s="2">
        <v>4.07</v>
      </c>
      <c r="E369" s="569" t="s">
        <v>419</v>
      </c>
      <c r="F369" s="2"/>
    </row>
    <row r="370" spans="1:6" x14ac:dyDescent="0.25">
      <c r="A370" s="2" t="s">
        <v>1416</v>
      </c>
      <c r="B370" s="2" t="s">
        <v>1421</v>
      </c>
      <c r="C370" s="2"/>
      <c r="D370" s="2">
        <v>3.32</v>
      </c>
      <c r="E370" s="569" t="s">
        <v>419</v>
      </c>
      <c r="F370" s="2"/>
    </row>
    <row r="371" spans="1:6" x14ac:dyDescent="0.25">
      <c r="A371" s="843" t="s">
        <v>1553</v>
      </c>
      <c r="B371" s="843" t="s">
        <v>1554</v>
      </c>
      <c r="C371" s="843">
        <v>19202200340</v>
      </c>
      <c r="D371" s="843">
        <v>3.9039999999999999</v>
      </c>
      <c r="E371" s="569" t="s">
        <v>419</v>
      </c>
      <c r="F371" s="843"/>
    </row>
    <row r="372" spans="1:6" x14ac:dyDescent="0.25">
      <c r="A372" s="843" t="s">
        <v>1553</v>
      </c>
      <c r="B372" s="843" t="s">
        <v>1554</v>
      </c>
      <c r="C372" s="843">
        <v>19202200341</v>
      </c>
      <c r="D372" s="843">
        <v>3.9</v>
      </c>
      <c r="E372" s="569" t="s">
        <v>419</v>
      </c>
      <c r="F372" s="843"/>
    </row>
    <row r="373" spans="1:6" x14ac:dyDescent="0.25">
      <c r="A373" s="843" t="s">
        <v>1553</v>
      </c>
      <c r="B373" s="843" t="s">
        <v>1554</v>
      </c>
      <c r="C373" s="843">
        <v>19202200298</v>
      </c>
      <c r="D373" s="843">
        <v>3.8519999999999999</v>
      </c>
      <c r="E373" s="569" t="s">
        <v>419</v>
      </c>
      <c r="F373" s="843"/>
    </row>
    <row r="374" spans="1:6" x14ac:dyDescent="0.25">
      <c r="A374" s="843" t="s">
        <v>1553</v>
      </c>
      <c r="B374" s="843" t="s">
        <v>1554</v>
      </c>
      <c r="C374" s="843">
        <v>19202200309</v>
      </c>
      <c r="D374" s="843">
        <v>3.64</v>
      </c>
      <c r="E374" s="569" t="s">
        <v>419</v>
      </c>
      <c r="F374" s="843"/>
    </row>
    <row r="375" spans="1:6" x14ac:dyDescent="0.25">
      <c r="A375" s="843" t="s">
        <v>1553</v>
      </c>
      <c r="B375" s="843" t="s">
        <v>1554</v>
      </c>
      <c r="C375" s="843">
        <v>19202200330</v>
      </c>
      <c r="D375" s="843">
        <v>3.544</v>
      </c>
      <c r="E375" s="569" t="s">
        <v>419</v>
      </c>
      <c r="F375" s="843"/>
    </row>
    <row r="376" spans="1:6" x14ac:dyDescent="0.25">
      <c r="A376" s="843" t="s">
        <v>1553</v>
      </c>
      <c r="B376" s="843" t="s">
        <v>1554</v>
      </c>
      <c r="C376" s="843">
        <v>19202200332</v>
      </c>
      <c r="D376" s="843">
        <v>3.448</v>
      </c>
      <c r="E376" s="571" t="s">
        <v>420</v>
      </c>
      <c r="F376" s="843"/>
    </row>
    <row r="377" spans="1:6" x14ac:dyDescent="0.25">
      <c r="A377" s="843" t="s">
        <v>1553</v>
      </c>
      <c r="B377" s="843" t="s">
        <v>1554</v>
      </c>
      <c r="C377" s="843">
        <v>19202200314</v>
      </c>
      <c r="D377" s="843">
        <v>3.4119999999999999</v>
      </c>
      <c r="E377" s="571" t="s">
        <v>420</v>
      </c>
      <c r="F377" s="843"/>
    </row>
    <row r="378" spans="1:6" x14ac:dyDescent="0.25">
      <c r="A378" s="843" t="s">
        <v>1553</v>
      </c>
      <c r="B378" s="843" t="s">
        <v>1554</v>
      </c>
      <c r="C378" s="843">
        <v>19202200316</v>
      </c>
      <c r="D378" s="843">
        <v>3.2360000000000002</v>
      </c>
      <c r="E378" s="571" t="s">
        <v>420</v>
      </c>
      <c r="F378" s="843"/>
    </row>
    <row r="379" spans="1:6" x14ac:dyDescent="0.25">
      <c r="A379" s="843" t="s">
        <v>1553</v>
      </c>
      <c r="B379" s="843" t="s">
        <v>1554</v>
      </c>
      <c r="C379" s="843">
        <v>19202200324</v>
      </c>
      <c r="D379" s="843">
        <v>3.1240000000000001</v>
      </c>
      <c r="E379" s="571" t="s">
        <v>420</v>
      </c>
      <c r="F379" s="843"/>
    </row>
    <row r="380" spans="1:6" x14ac:dyDescent="0.25">
      <c r="A380" s="843" t="s">
        <v>1553</v>
      </c>
      <c r="B380" s="843" t="s">
        <v>1554</v>
      </c>
      <c r="C380" s="843">
        <v>19202200334</v>
      </c>
      <c r="D380" s="843">
        <v>2.8039999999999998</v>
      </c>
      <c r="E380" s="571" t="s">
        <v>420</v>
      </c>
      <c r="F380" s="843"/>
    </row>
    <row r="381" spans="1:6" x14ac:dyDescent="0.25">
      <c r="A381" s="843" t="s">
        <v>1553</v>
      </c>
      <c r="B381" s="843" t="s">
        <v>1554</v>
      </c>
      <c r="C381" s="843">
        <v>19202200345</v>
      </c>
      <c r="D381" s="843">
        <v>2.7719999999999998</v>
      </c>
      <c r="E381" s="571" t="s">
        <v>420</v>
      </c>
      <c r="F381" s="843"/>
    </row>
    <row r="382" spans="1:6" x14ac:dyDescent="0.25">
      <c r="A382" s="843" t="s">
        <v>1553</v>
      </c>
      <c r="B382" s="843" t="s">
        <v>1419</v>
      </c>
      <c r="C382" s="843">
        <v>19202200275</v>
      </c>
      <c r="D382" s="843">
        <v>4.1559999999999997</v>
      </c>
      <c r="E382" s="569" t="s">
        <v>419</v>
      </c>
      <c r="F382" s="843"/>
    </row>
    <row r="383" spans="1:6" x14ac:dyDescent="0.25">
      <c r="A383" s="843" t="s">
        <v>1553</v>
      </c>
      <c r="B383" s="843" t="s">
        <v>1419</v>
      </c>
      <c r="C383" s="843">
        <v>19202200317</v>
      </c>
      <c r="D383" s="843">
        <v>3.94</v>
      </c>
      <c r="E383" s="569" t="s">
        <v>419</v>
      </c>
      <c r="F383" s="843"/>
    </row>
    <row r="384" spans="1:6" x14ac:dyDescent="0.25">
      <c r="A384" s="843" t="s">
        <v>1553</v>
      </c>
      <c r="B384" s="843" t="s">
        <v>1419</v>
      </c>
      <c r="C384" s="843">
        <v>19202200312</v>
      </c>
      <c r="D384" s="843">
        <v>3.7759999999999998</v>
      </c>
      <c r="E384" s="569" t="s">
        <v>419</v>
      </c>
      <c r="F384" s="843"/>
    </row>
  </sheetData>
  <mergeCells count="1"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pane ySplit="2" topLeftCell="A254" activePane="bottomLeft" state="frozen"/>
      <selection pane="bottomLeft" activeCell="D259" sqref="D259"/>
    </sheetView>
  </sheetViews>
  <sheetFormatPr defaultRowHeight="15" x14ac:dyDescent="0.25"/>
  <cols>
    <col min="1" max="1" width="24.85546875" customWidth="1"/>
    <col min="2" max="2" width="78.85546875" customWidth="1"/>
    <col min="3" max="3" width="20.5703125" customWidth="1"/>
    <col min="4" max="4" width="13.140625" bestFit="1" customWidth="1"/>
    <col min="5" max="5" width="15.85546875" customWidth="1"/>
    <col min="6" max="6" width="23.85546875" style="21" customWidth="1"/>
  </cols>
  <sheetData>
    <row r="1" spans="1:6" ht="15.75" x14ac:dyDescent="0.25">
      <c r="A1" s="856" t="s">
        <v>33</v>
      </c>
      <c r="B1" s="857"/>
      <c r="C1" s="857"/>
      <c r="D1" s="857"/>
      <c r="E1" s="857"/>
      <c r="F1" s="857"/>
    </row>
    <row r="2" spans="1:6" ht="15.75" thickBot="1" x14ac:dyDescent="0.3">
      <c r="A2" s="149" t="s">
        <v>6</v>
      </c>
      <c r="B2" s="109" t="s">
        <v>2</v>
      </c>
      <c r="C2" s="110" t="s">
        <v>0</v>
      </c>
      <c r="D2" s="108" t="s">
        <v>1</v>
      </c>
      <c r="E2" s="220" t="s">
        <v>464</v>
      </c>
      <c r="F2" s="110" t="s">
        <v>577</v>
      </c>
    </row>
    <row r="3" spans="1:6" x14ac:dyDescent="0.25">
      <c r="A3" s="58" t="s">
        <v>425</v>
      </c>
      <c r="B3" s="91" t="s">
        <v>426</v>
      </c>
      <c r="C3" s="49" t="str">
        <f>"619216820728"</f>
        <v>619216820728</v>
      </c>
      <c r="D3" s="49">
        <v>3.32</v>
      </c>
      <c r="E3" s="213" t="s">
        <v>419</v>
      </c>
      <c r="F3" s="229" t="s">
        <v>578</v>
      </c>
    </row>
    <row r="4" spans="1:6" x14ac:dyDescent="0.25">
      <c r="A4" s="50" t="s">
        <v>425</v>
      </c>
      <c r="B4" s="1" t="s">
        <v>426</v>
      </c>
      <c r="C4" s="2" t="str">
        <f>"619216820735"</f>
        <v>619216820735</v>
      </c>
      <c r="D4" s="2">
        <v>3.23</v>
      </c>
      <c r="E4" s="214" t="s">
        <v>419</v>
      </c>
      <c r="F4" s="230" t="s">
        <v>579</v>
      </c>
    </row>
    <row r="5" spans="1:6" x14ac:dyDescent="0.25">
      <c r="A5" s="60" t="s">
        <v>425</v>
      </c>
      <c r="B5" s="1" t="s">
        <v>426</v>
      </c>
      <c r="C5" s="2" t="str">
        <f>"619216820746"</f>
        <v>619216820746</v>
      </c>
      <c r="D5" s="2">
        <v>3.14</v>
      </c>
      <c r="E5" s="214" t="s">
        <v>419</v>
      </c>
      <c r="F5" s="230" t="s">
        <v>580</v>
      </c>
    </row>
    <row r="6" spans="1:6" x14ac:dyDescent="0.25">
      <c r="A6" s="50" t="s">
        <v>425</v>
      </c>
      <c r="B6" s="1" t="s">
        <v>426</v>
      </c>
      <c r="C6" s="2" t="str">
        <f>"619216820736"</f>
        <v>619216820736</v>
      </c>
      <c r="D6" s="2">
        <v>3.04</v>
      </c>
      <c r="E6" s="214" t="s">
        <v>419</v>
      </c>
      <c r="F6" s="230" t="s">
        <v>581</v>
      </c>
    </row>
    <row r="7" spans="1:6" x14ac:dyDescent="0.25">
      <c r="A7" s="60" t="s">
        <v>425</v>
      </c>
      <c r="B7" s="1" t="s">
        <v>426</v>
      </c>
      <c r="C7" s="2" t="str">
        <f>"619216820741"</f>
        <v>619216820741</v>
      </c>
      <c r="D7" s="2">
        <v>3.01</v>
      </c>
      <c r="E7" s="214" t="s">
        <v>419</v>
      </c>
      <c r="F7" s="230" t="s">
        <v>582</v>
      </c>
    </row>
    <row r="8" spans="1:6" x14ac:dyDescent="0.25">
      <c r="A8" s="50" t="s">
        <v>425</v>
      </c>
      <c r="B8" s="1" t="s">
        <v>426</v>
      </c>
      <c r="C8" s="2" t="str">
        <f>"619216820730"</f>
        <v>619216820730</v>
      </c>
      <c r="D8" s="2">
        <v>2.84</v>
      </c>
      <c r="E8" s="214" t="s">
        <v>419</v>
      </c>
      <c r="F8" s="230" t="s">
        <v>583</v>
      </c>
    </row>
    <row r="9" spans="1:6" x14ac:dyDescent="0.25">
      <c r="A9" s="60" t="s">
        <v>425</v>
      </c>
      <c r="B9" s="1" t="s">
        <v>426</v>
      </c>
      <c r="C9" s="2" t="str">
        <f>"619216820738"</f>
        <v>619216820738</v>
      </c>
      <c r="D9" s="2">
        <v>2.77</v>
      </c>
      <c r="E9" s="214" t="s">
        <v>419</v>
      </c>
      <c r="F9" s="230" t="s">
        <v>584</v>
      </c>
    </row>
    <row r="10" spans="1:6" x14ac:dyDescent="0.25">
      <c r="A10" s="50" t="s">
        <v>425</v>
      </c>
      <c r="B10" s="1" t="s">
        <v>426</v>
      </c>
      <c r="C10" s="2" t="str">
        <f>"619216820744"</f>
        <v>619216820744</v>
      </c>
      <c r="D10" s="2">
        <v>2.74</v>
      </c>
      <c r="E10" s="214" t="s">
        <v>419</v>
      </c>
      <c r="F10" s="230" t="s">
        <v>585</v>
      </c>
    </row>
    <row r="11" spans="1:6" x14ac:dyDescent="0.25">
      <c r="A11" s="60" t="s">
        <v>425</v>
      </c>
      <c r="B11" s="1" t="s">
        <v>426</v>
      </c>
      <c r="C11" s="2" t="str">
        <f>"619216820749"</f>
        <v>619216820749</v>
      </c>
      <c r="D11" s="2">
        <v>2.71</v>
      </c>
      <c r="E11" s="214" t="s">
        <v>419</v>
      </c>
      <c r="F11" s="230" t="s">
        <v>586</v>
      </c>
    </row>
    <row r="12" spans="1:6" x14ac:dyDescent="0.25">
      <c r="A12" s="50" t="s">
        <v>425</v>
      </c>
      <c r="B12" s="1" t="s">
        <v>426</v>
      </c>
      <c r="C12" s="2" t="str">
        <f>"619216820747"</f>
        <v>619216820747</v>
      </c>
      <c r="D12" s="2">
        <v>2.59</v>
      </c>
      <c r="E12" s="214" t="s">
        <v>419</v>
      </c>
      <c r="F12" s="230" t="s">
        <v>587</v>
      </c>
    </row>
    <row r="13" spans="1:6" x14ac:dyDescent="0.25">
      <c r="A13" s="60" t="s">
        <v>425</v>
      </c>
      <c r="B13" s="1" t="s">
        <v>426</v>
      </c>
      <c r="C13" s="2" t="str">
        <f>"619216820737"</f>
        <v>619216820737</v>
      </c>
      <c r="D13" s="2">
        <v>2.5299999999999998</v>
      </c>
      <c r="E13" s="214" t="s">
        <v>419</v>
      </c>
      <c r="F13" s="230" t="s">
        <v>588</v>
      </c>
    </row>
    <row r="14" spans="1:6" x14ac:dyDescent="0.25">
      <c r="A14" s="60" t="s">
        <v>425</v>
      </c>
      <c r="B14" s="1" t="s">
        <v>426</v>
      </c>
      <c r="C14" s="2" t="str">
        <f>"619216820753"</f>
        <v>619216820753</v>
      </c>
      <c r="D14" s="2">
        <v>2.4900000000000002</v>
      </c>
      <c r="E14" s="214" t="s">
        <v>419</v>
      </c>
      <c r="F14" s="230" t="s">
        <v>589</v>
      </c>
    </row>
    <row r="15" spans="1:6" x14ac:dyDescent="0.25">
      <c r="A15" s="50" t="s">
        <v>425</v>
      </c>
      <c r="B15" s="1" t="s">
        <v>426</v>
      </c>
      <c r="C15" s="2" t="str">
        <f>"619216820751"</f>
        <v>619216820751</v>
      </c>
      <c r="D15" s="2">
        <v>2.4700000000000002</v>
      </c>
      <c r="E15" s="214" t="s">
        <v>419</v>
      </c>
      <c r="F15" s="230" t="s">
        <v>590</v>
      </c>
    </row>
    <row r="16" spans="1:6" x14ac:dyDescent="0.25">
      <c r="A16" s="60" t="s">
        <v>425</v>
      </c>
      <c r="B16" s="1" t="s">
        <v>426</v>
      </c>
      <c r="C16" s="2" t="str">
        <f>"619216820748"</f>
        <v>619216820748</v>
      </c>
      <c r="D16" s="2">
        <v>2.2999999999999998</v>
      </c>
      <c r="E16" s="214" t="s">
        <v>419</v>
      </c>
      <c r="F16" s="230" t="s">
        <v>591</v>
      </c>
    </row>
    <row r="17" spans="1:6" ht="15.75" thickBot="1" x14ac:dyDescent="0.3">
      <c r="A17" s="42" t="s">
        <v>425</v>
      </c>
      <c r="B17" s="62" t="s">
        <v>426</v>
      </c>
      <c r="C17" s="51" t="str">
        <f>"619216820750"</f>
        <v>619216820750</v>
      </c>
      <c r="D17" s="51">
        <v>2.2200000000000002</v>
      </c>
      <c r="E17" s="215" t="s">
        <v>419</v>
      </c>
      <c r="F17" s="231" t="s">
        <v>592</v>
      </c>
    </row>
    <row r="18" spans="1:6" x14ac:dyDescent="0.25">
      <c r="A18" s="58" t="s">
        <v>425</v>
      </c>
      <c r="B18" s="64" t="s">
        <v>427</v>
      </c>
      <c r="C18" s="49" t="str">
        <f>"619216820733"</f>
        <v>619216820733</v>
      </c>
      <c r="D18" s="49">
        <v>3.44</v>
      </c>
      <c r="E18" s="213" t="s">
        <v>419</v>
      </c>
      <c r="F18" s="229" t="s">
        <v>578</v>
      </c>
    </row>
    <row r="19" spans="1:6" x14ac:dyDescent="0.25">
      <c r="A19" s="60" t="s">
        <v>425</v>
      </c>
      <c r="B19" s="25" t="s">
        <v>427</v>
      </c>
      <c r="C19" s="2" t="str">
        <f>"619216820742"</f>
        <v>619216820742</v>
      </c>
      <c r="D19" s="2">
        <v>3.15</v>
      </c>
      <c r="E19" s="214" t="s">
        <v>419</v>
      </c>
      <c r="F19" s="230" t="s">
        <v>579</v>
      </c>
    </row>
    <row r="20" spans="1:6" x14ac:dyDescent="0.25">
      <c r="A20" s="50" t="s">
        <v>425</v>
      </c>
      <c r="B20" s="25" t="s">
        <v>427</v>
      </c>
      <c r="C20" s="2" t="str">
        <f>"619216820734"</f>
        <v>619216820734</v>
      </c>
      <c r="D20" s="2">
        <v>3.11</v>
      </c>
      <c r="E20" s="214" t="s">
        <v>419</v>
      </c>
      <c r="F20" s="230" t="s">
        <v>580</v>
      </c>
    </row>
    <row r="21" spans="1:6" x14ac:dyDescent="0.25">
      <c r="A21" s="60" t="s">
        <v>425</v>
      </c>
      <c r="B21" s="25" t="s">
        <v>427</v>
      </c>
      <c r="C21" s="2" t="str">
        <f>"619216780740"</f>
        <v>619216780740</v>
      </c>
      <c r="D21" s="2">
        <v>3.09</v>
      </c>
      <c r="E21" s="214" t="s">
        <v>419</v>
      </c>
      <c r="F21" s="230" t="s">
        <v>581</v>
      </c>
    </row>
    <row r="22" spans="1:6" x14ac:dyDescent="0.25">
      <c r="A22" s="50" t="s">
        <v>425</v>
      </c>
      <c r="B22" s="25" t="s">
        <v>427</v>
      </c>
      <c r="C22" s="2" t="str">
        <f>"619216820743"</f>
        <v>619216820743</v>
      </c>
      <c r="D22" s="2">
        <v>2.98</v>
      </c>
      <c r="E22" s="214" t="s">
        <v>419</v>
      </c>
      <c r="F22" s="230" t="s">
        <v>582</v>
      </c>
    </row>
    <row r="23" spans="1:6" x14ac:dyDescent="0.25">
      <c r="A23" s="60" t="s">
        <v>425</v>
      </c>
      <c r="B23" s="25" t="s">
        <v>427</v>
      </c>
      <c r="C23" s="2" t="str">
        <f>"619216820732"</f>
        <v>619216820732</v>
      </c>
      <c r="D23" s="2">
        <v>2.98</v>
      </c>
      <c r="E23" s="214" t="s">
        <v>419</v>
      </c>
      <c r="F23" s="230" t="s">
        <v>583</v>
      </c>
    </row>
    <row r="24" spans="1:6" x14ac:dyDescent="0.25">
      <c r="A24" s="60" t="s">
        <v>425</v>
      </c>
      <c r="B24" s="25" t="s">
        <v>427</v>
      </c>
      <c r="C24" s="2" t="str">
        <f>"619216820745"</f>
        <v>619216820745</v>
      </c>
      <c r="D24" s="2">
        <v>2.72</v>
      </c>
      <c r="E24" s="214" t="s">
        <v>419</v>
      </c>
      <c r="F24" s="230" t="s">
        <v>584</v>
      </c>
    </row>
    <row r="25" spans="1:6" x14ac:dyDescent="0.25">
      <c r="A25" s="50" t="s">
        <v>425</v>
      </c>
      <c r="B25" s="25" t="s">
        <v>427</v>
      </c>
      <c r="C25" s="2" t="str">
        <f>"619216820739"</f>
        <v>619216820739</v>
      </c>
      <c r="D25" s="2">
        <v>2.71</v>
      </c>
      <c r="E25" s="214" t="s">
        <v>419</v>
      </c>
      <c r="F25" s="230" t="s">
        <v>585</v>
      </c>
    </row>
    <row r="26" spans="1:6" x14ac:dyDescent="0.25">
      <c r="A26" s="60" t="s">
        <v>425</v>
      </c>
      <c r="B26" s="25" t="s">
        <v>427</v>
      </c>
      <c r="C26" s="2" t="str">
        <f>"619216820729"</f>
        <v>619216820729</v>
      </c>
      <c r="D26" s="26">
        <v>2.66</v>
      </c>
      <c r="E26" s="214" t="s">
        <v>419</v>
      </c>
      <c r="F26" s="230" t="s">
        <v>586</v>
      </c>
    </row>
    <row r="27" spans="1:6" x14ac:dyDescent="0.25">
      <c r="A27" s="50" t="s">
        <v>425</v>
      </c>
      <c r="B27" s="25" t="s">
        <v>427</v>
      </c>
      <c r="C27" s="2" t="str">
        <f>"619216820731"</f>
        <v>619216820731</v>
      </c>
      <c r="D27" s="26">
        <v>2.41</v>
      </c>
      <c r="E27" s="214" t="s">
        <v>419</v>
      </c>
      <c r="F27" s="230" t="s">
        <v>587</v>
      </c>
    </row>
    <row r="28" spans="1:6" ht="15.75" thickBot="1" x14ac:dyDescent="0.3">
      <c r="A28" s="61" t="s">
        <v>425</v>
      </c>
      <c r="B28" s="88" t="s">
        <v>427</v>
      </c>
      <c r="C28" s="51" t="str">
        <f>"619216820752"</f>
        <v>619216820752</v>
      </c>
      <c r="D28" s="222">
        <v>2.2599999999999998</v>
      </c>
      <c r="E28" s="215" t="s">
        <v>419</v>
      </c>
      <c r="F28" s="230" t="s">
        <v>588</v>
      </c>
    </row>
    <row r="29" spans="1:6" x14ac:dyDescent="0.25">
      <c r="A29" s="202" t="s">
        <v>566</v>
      </c>
      <c r="B29" s="64" t="s">
        <v>486</v>
      </c>
      <c r="C29" s="49" t="str">
        <f>"619216821341"</f>
        <v>619216821341</v>
      </c>
      <c r="D29" s="49">
        <v>3.09</v>
      </c>
      <c r="E29" s="213" t="s">
        <v>419</v>
      </c>
      <c r="F29" s="229" t="s">
        <v>578</v>
      </c>
    </row>
    <row r="30" spans="1:6" x14ac:dyDescent="0.25">
      <c r="A30" s="203" t="s">
        <v>566</v>
      </c>
      <c r="B30" s="25" t="s">
        <v>486</v>
      </c>
      <c r="C30" s="27" t="str">
        <f>"619216821339"</f>
        <v>619216821339</v>
      </c>
      <c r="D30" s="2">
        <v>3.05</v>
      </c>
      <c r="E30" s="214" t="s">
        <v>419</v>
      </c>
      <c r="F30" s="230" t="s">
        <v>579</v>
      </c>
    </row>
    <row r="31" spans="1:6" x14ac:dyDescent="0.25">
      <c r="A31" s="203" t="s">
        <v>566</v>
      </c>
      <c r="B31" s="25" t="s">
        <v>486</v>
      </c>
      <c r="C31" s="27" t="s">
        <v>487</v>
      </c>
      <c r="D31" s="2">
        <v>2.83</v>
      </c>
      <c r="E31" s="214" t="s">
        <v>419</v>
      </c>
      <c r="F31" s="230" t="s">
        <v>580</v>
      </c>
    </row>
    <row r="32" spans="1:6" x14ac:dyDescent="0.25">
      <c r="A32" s="203" t="s">
        <v>566</v>
      </c>
      <c r="B32" s="25" t="s">
        <v>486</v>
      </c>
      <c r="C32" s="27" t="str">
        <f>"619216821340"</f>
        <v>619216821340</v>
      </c>
      <c r="D32" s="2">
        <v>2.74</v>
      </c>
      <c r="E32" s="214" t="s">
        <v>419</v>
      </c>
      <c r="F32" s="230" t="s">
        <v>581</v>
      </c>
    </row>
    <row r="33" spans="1:6" x14ac:dyDescent="0.25">
      <c r="A33" s="203" t="s">
        <v>566</v>
      </c>
      <c r="B33" s="25" t="s">
        <v>486</v>
      </c>
      <c r="C33" s="27" t="str">
        <f>"619216821338"</f>
        <v>619216821338</v>
      </c>
      <c r="D33" s="2">
        <v>2.61</v>
      </c>
      <c r="E33" s="214" t="s">
        <v>419</v>
      </c>
      <c r="F33" s="230" t="s">
        <v>582</v>
      </c>
    </row>
    <row r="34" spans="1:6" x14ac:dyDescent="0.25">
      <c r="A34" s="203" t="s">
        <v>566</v>
      </c>
      <c r="B34" s="25" t="s">
        <v>486</v>
      </c>
      <c r="C34" s="2" t="str">
        <f>"619216821342"</f>
        <v>619216821342</v>
      </c>
      <c r="D34" s="2">
        <v>2.59</v>
      </c>
      <c r="E34" s="214" t="s">
        <v>419</v>
      </c>
      <c r="F34" s="230" t="s">
        <v>583</v>
      </c>
    </row>
    <row r="35" spans="1:6" x14ac:dyDescent="0.25">
      <c r="A35" s="203" t="s">
        <v>566</v>
      </c>
      <c r="B35" s="25" t="s">
        <v>486</v>
      </c>
      <c r="C35" s="2" t="str">
        <f>"619216821336"</f>
        <v>619216821336</v>
      </c>
      <c r="D35" s="2">
        <v>2.52</v>
      </c>
      <c r="E35" s="214" t="s">
        <v>419</v>
      </c>
      <c r="F35" s="230" t="s">
        <v>584</v>
      </c>
    </row>
    <row r="36" spans="1:6" x14ac:dyDescent="0.25">
      <c r="A36" s="203" t="s">
        <v>566</v>
      </c>
      <c r="B36" s="25" t="s">
        <v>486</v>
      </c>
      <c r="C36" s="2" t="str">
        <f>"619216821337"</f>
        <v>619216821337</v>
      </c>
      <c r="D36" s="2">
        <v>2.41</v>
      </c>
      <c r="E36" s="214" t="s">
        <v>419</v>
      </c>
      <c r="F36" s="230" t="s">
        <v>585</v>
      </c>
    </row>
    <row r="37" spans="1:6" x14ac:dyDescent="0.25">
      <c r="A37" s="203" t="s">
        <v>566</v>
      </c>
      <c r="B37" s="25" t="s">
        <v>486</v>
      </c>
      <c r="C37" s="2" t="str">
        <f>"619216821343"</f>
        <v>619216821343</v>
      </c>
      <c r="D37" s="2">
        <v>2.35</v>
      </c>
      <c r="E37" s="214" t="s">
        <v>419</v>
      </c>
      <c r="F37" s="230" t="s">
        <v>586</v>
      </c>
    </row>
    <row r="38" spans="1:6" ht="15.75" thickBot="1" x14ac:dyDescent="0.3">
      <c r="A38" s="227" t="s">
        <v>566</v>
      </c>
      <c r="B38" s="178" t="s">
        <v>486</v>
      </c>
      <c r="C38" s="179" t="str">
        <f>"619216821344"</f>
        <v>619216821344</v>
      </c>
      <c r="D38" s="179">
        <v>2.04</v>
      </c>
      <c r="E38" s="216" t="s">
        <v>419</v>
      </c>
      <c r="F38" s="230" t="s">
        <v>587</v>
      </c>
    </row>
    <row r="39" spans="1:6" x14ac:dyDescent="0.25">
      <c r="A39" s="47" t="s">
        <v>536</v>
      </c>
      <c r="B39" s="64" t="s">
        <v>537</v>
      </c>
      <c r="C39" s="36" t="s">
        <v>538</v>
      </c>
      <c r="D39" s="49">
        <v>3.48</v>
      </c>
      <c r="E39" s="228" t="s">
        <v>419</v>
      </c>
      <c r="F39" s="229" t="s">
        <v>578</v>
      </c>
    </row>
    <row r="40" spans="1:6" x14ac:dyDescent="0.25">
      <c r="A40" s="50" t="s">
        <v>539</v>
      </c>
      <c r="B40" s="25" t="s">
        <v>537</v>
      </c>
      <c r="C40" s="11" t="s">
        <v>540</v>
      </c>
      <c r="D40" s="2">
        <v>2.89</v>
      </c>
      <c r="E40" s="225" t="s">
        <v>419</v>
      </c>
      <c r="F40" s="230" t="s">
        <v>579</v>
      </c>
    </row>
    <row r="41" spans="1:6" x14ac:dyDescent="0.25">
      <c r="A41" s="50" t="s">
        <v>539</v>
      </c>
      <c r="B41" s="25" t="s">
        <v>537</v>
      </c>
      <c r="C41" s="11" t="s">
        <v>567</v>
      </c>
      <c r="D41" s="205">
        <v>2.67</v>
      </c>
      <c r="E41" s="226" t="s">
        <v>420</v>
      </c>
      <c r="F41" s="230" t="s">
        <v>580</v>
      </c>
    </row>
    <row r="42" spans="1:6" x14ac:dyDescent="0.25">
      <c r="A42" s="50" t="s">
        <v>539</v>
      </c>
      <c r="B42" s="25" t="s">
        <v>537</v>
      </c>
      <c r="C42" s="11" t="s">
        <v>568</v>
      </c>
      <c r="D42" s="205">
        <v>2.0699999999999998</v>
      </c>
      <c r="E42" s="226" t="s">
        <v>420</v>
      </c>
      <c r="F42" s="230" t="s">
        <v>581</v>
      </c>
    </row>
    <row r="43" spans="1:6" x14ac:dyDescent="0.25">
      <c r="A43" s="50" t="s">
        <v>539</v>
      </c>
      <c r="B43" s="25" t="s">
        <v>537</v>
      </c>
      <c r="C43" s="11" t="s">
        <v>569</v>
      </c>
      <c r="D43" s="204">
        <v>1.97</v>
      </c>
      <c r="E43" s="226" t="s">
        <v>420</v>
      </c>
      <c r="F43" s="230" t="s">
        <v>582</v>
      </c>
    </row>
    <row r="44" spans="1:6" ht="15.75" thickBot="1" x14ac:dyDescent="0.3">
      <c r="A44" s="42" t="s">
        <v>539</v>
      </c>
      <c r="B44" s="88" t="s">
        <v>537</v>
      </c>
      <c r="C44" s="43" t="s">
        <v>570</v>
      </c>
      <c r="D44" s="209">
        <v>1.81</v>
      </c>
      <c r="E44" s="234" t="s">
        <v>420</v>
      </c>
      <c r="F44" s="230" t="s">
        <v>583</v>
      </c>
    </row>
    <row r="45" spans="1:6" x14ac:dyDescent="0.25">
      <c r="A45" s="223" t="s">
        <v>539</v>
      </c>
      <c r="B45" s="221" t="s">
        <v>537</v>
      </c>
      <c r="C45" s="224" t="s">
        <v>541</v>
      </c>
      <c r="D45" s="86">
        <v>3.49</v>
      </c>
      <c r="E45" s="233" t="s">
        <v>419</v>
      </c>
      <c r="F45" s="229" t="s">
        <v>578</v>
      </c>
    </row>
    <row r="46" spans="1:6" x14ac:dyDescent="0.25">
      <c r="A46" s="50" t="s">
        <v>539</v>
      </c>
      <c r="B46" s="25" t="s">
        <v>537</v>
      </c>
      <c r="C46" s="11" t="s">
        <v>542</v>
      </c>
      <c r="D46" s="2">
        <v>3.05</v>
      </c>
      <c r="E46" s="225" t="s">
        <v>419</v>
      </c>
      <c r="F46" s="230" t="s">
        <v>579</v>
      </c>
    </row>
    <row r="47" spans="1:6" x14ac:dyDescent="0.25">
      <c r="A47" s="50" t="s">
        <v>539</v>
      </c>
      <c r="B47" s="25" t="s">
        <v>537</v>
      </c>
      <c r="C47" s="11" t="s">
        <v>543</v>
      </c>
      <c r="D47" s="2">
        <v>2.84</v>
      </c>
      <c r="E47" s="225" t="s">
        <v>419</v>
      </c>
      <c r="F47" s="230" t="s">
        <v>580</v>
      </c>
    </row>
    <row r="48" spans="1:6" x14ac:dyDescent="0.25">
      <c r="A48" s="50" t="s">
        <v>539</v>
      </c>
      <c r="B48" s="25" t="s">
        <v>537</v>
      </c>
      <c r="C48" s="11" t="s">
        <v>544</v>
      </c>
      <c r="D48" s="2">
        <v>2.64</v>
      </c>
      <c r="E48" s="225" t="s">
        <v>419</v>
      </c>
      <c r="F48" s="230" t="s">
        <v>581</v>
      </c>
    </row>
    <row r="49" spans="1:6" x14ac:dyDescent="0.25">
      <c r="A49" s="50" t="s">
        <v>539</v>
      </c>
      <c r="B49" s="25" t="s">
        <v>537</v>
      </c>
      <c r="C49" s="11" t="s">
        <v>545</v>
      </c>
      <c r="D49" s="2">
        <v>2.62</v>
      </c>
      <c r="E49" s="225" t="s">
        <v>419</v>
      </c>
      <c r="F49" s="230" t="s">
        <v>582</v>
      </c>
    </row>
    <row r="50" spans="1:6" x14ac:dyDescent="0.25">
      <c r="A50" s="50" t="s">
        <v>539</v>
      </c>
      <c r="B50" s="25" t="s">
        <v>537</v>
      </c>
      <c r="C50" s="11" t="s">
        <v>546</v>
      </c>
      <c r="D50" s="2">
        <v>2.6</v>
      </c>
      <c r="E50" s="225" t="s">
        <v>419</v>
      </c>
      <c r="F50" s="230" t="s">
        <v>583</v>
      </c>
    </row>
    <row r="51" spans="1:6" x14ac:dyDescent="0.25">
      <c r="A51" s="50" t="s">
        <v>539</v>
      </c>
      <c r="B51" s="25" t="s">
        <v>537</v>
      </c>
      <c r="C51" s="11" t="s">
        <v>547</v>
      </c>
      <c r="D51" s="2">
        <v>2.56</v>
      </c>
      <c r="E51" s="225" t="s">
        <v>419</v>
      </c>
      <c r="F51" s="230" t="s">
        <v>584</v>
      </c>
    </row>
    <row r="52" spans="1:6" x14ac:dyDescent="0.25">
      <c r="A52" s="50" t="s">
        <v>539</v>
      </c>
      <c r="B52" s="25" t="s">
        <v>537</v>
      </c>
      <c r="C52" s="11" t="s">
        <v>548</v>
      </c>
      <c r="D52" s="2">
        <v>2.5299999999999998</v>
      </c>
      <c r="E52" s="225" t="s">
        <v>419</v>
      </c>
      <c r="F52" s="230" t="s">
        <v>585</v>
      </c>
    </row>
    <row r="53" spans="1:6" x14ac:dyDescent="0.25">
      <c r="A53" s="50" t="s">
        <v>539</v>
      </c>
      <c r="B53" s="25" t="s">
        <v>537</v>
      </c>
      <c r="C53" s="11" t="s">
        <v>549</v>
      </c>
      <c r="D53" s="2">
        <v>2.4</v>
      </c>
      <c r="E53" s="225" t="s">
        <v>419</v>
      </c>
      <c r="F53" s="230" t="s">
        <v>586</v>
      </c>
    </row>
    <row r="54" spans="1:6" x14ac:dyDescent="0.25">
      <c r="A54" s="50" t="s">
        <v>539</v>
      </c>
      <c r="B54" s="25" t="s">
        <v>537</v>
      </c>
      <c r="C54" s="11" t="s">
        <v>550</v>
      </c>
      <c r="D54" s="204">
        <v>2.39</v>
      </c>
      <c r="E54" s="225" t="s">
        <v>419</v>
      </c>
      <c r="F54" s="230" t="s">
        <v>587</v>
      </c>
    </row>
    <row r="55" spans="1:6" x14ac:dyDescent="0.25">
      <c r="A55" s="50" t="s">
        <v>539</v>
      </c>
      <c r="B55" s="25" t="s">
        <v>537</v>
      </c>
      <c r="C55" s="11" t="s">
        <v>571</v>
      </c>
      <c r="D55" s="204">
        <v>2.35</v>
      </c>
      <c r="E55" s="226" t="s">
        <v>420</v>
      </c>
      <c r="F55" s="230" t="s">
        <v>588</v>
      </c>
    </row>
    <row r="56" spans="1:6" x14ac:dyDescent="0.25">
      <c r="A56" s="50" t="s">
        <v>539</v>
      </c>
      <c r="B56" s="25" t="s">
        <v>537</v>
      </c>
      <c r="C56" s="11" t="s">
        <v>572</v>
      </c>
      <c r="D56" s="204">
        <v>2.2200000000000002</v>
      </c>
      <c r="E56" s="226" t="s">
        <v>420</v>
      </c>
      <c r="F56" s="230" t="s">
        <v>589</v>
      </c>
    </row>
    <row r="57" spans="1:6" x14ac:dyDescent="0.25">
      <c r="A57" s="50" t="s">
        <v>539</v>
      </c>
      <c r="B57" s="25" t="s">
        <v>537</v>
      </c>
      <c r="C57" s="11" t="s">
        <v>573</v>
      </c>
      <c r="D57" s="204">
        <v>2.21</v>
      </c>
      <c r="E57" s="218" t="s">
        <v>420</v>
      </c>
      <c r="F57" s="230" t="s">
        <v>590</v>
      </c>
    </row>
    <row r="58" spans="1:6" x14ac:dyDescent="0.25">
      <c r="A58" s="50" t="s">
        <v>539</v>
      </c>
      <c r="B58" s="25" t="s">
        <v>537</v>
      </c>
      <c r="C58" s="11" t="s">
        <v>574</v>
      </c>
      <c r="D58" s="204">
        <v>2.14</v>
      </c>
      <c r="E58" s="218" t="s">
        <v>420</v>
      </c>
      <c r="F58" s="230" t="s">
        <v>591</v>
      </c>
    </row>
    <row r="59" spans="1:6" x14ac:dyDescent="0.25">
      <c r="A59" s="50" t="s">
        <v>539</v>
      </c>
      <c r="B59" s="25" t="s">
        <v>537</v>
      </c>
      <c r="C59" s="11" t="s">
        <v>575</v>
      </c>
      <c r="D59" s="204">
        <v>2.0499999999999998</v>
      </c>
      <c r="E59" s="218" t="s">
        <v>420</v>
      </c>
      <c r="F59" s="230" t="s">
        <v>592</v>
      </c>
    </row>
    <row r="60" spans="1:6" x14ac:dyDescent="0.25">
      <c r="A60" s="50" t="s">
        <v>539</v>
      </c>
      <c r="B60" s="25" t="s">
        <v>537</v>
      </c>
      <c r="C60" s="11" t="s">
        <v>576</v>
      </c>
      <c r="D60" s="204">
        <v>1.68</v>
      </c>
      <c r="E60" s="218" t="s">
        <v>420</v>
      </c>
      <c r="F60" s="230" t="s">
        <v>593</v>
      </c>
    </row>
    <row r="61" spans="1:6" ht="15.75" thickBot="1" x14ac:dyDescent="0.3">
      <c r="A61" s="42" t="s">
        <v>539</v>
      </c>
      <c r="B61" s="88" t="s">
        <v>537</v>
      </c>
      <c r="C61" s="43" t="str">
        <f>"619216821411"</f>
        <v>619216821411</v>
      </c>
      <c r="D61" s="209">
        <v>1.08</v>
      </c>
      <c r="E61" s="219" t="s">
        <v>420</v>
      </c>
      <c r="F61" s="231" t="s">
        <v>594</v>
      </c>
    </row>
    <row r="62" spans="1:6" x14ac:dyDescent="0.25">
      <c r="A62" s="47" t="s">
        <v>539</v>
      </c>
      <c r="B62" s="64" t="s">
        <v>551</v>
      </c>
      <c r="C62" s="36" t="s">
        <v>552</v>
      </c>
      <c r="D62" s="207">
        <v>3.38</v>
      </c>
      <c r="E62" s="213" t="s">
        <v>419</v>
      </c>
      <c r="F62" s="229" t="s">
        <v>578</v>
      </c>
    </row>
    <row r="63" spans="1:6" x14ac:dyDescent="0.25">
      <c r="A63" s="50" t="s">
        <v>539</v>
      </c>
      <c r="B63" s="25" t="s">
        <v>551</v>
      </c>
      <c r="C63" s="11" t="s">
        <v>553</v>
      </c>
      <c r="D63" s="204">
        <v>2.76</v>
      </c>
      <c r="E63" s="214" t="s">
        <v>419</v>
      </c>
      <c r="F63" s="230" t="s">
        <v>579</v>
      </c>
    </row>
    <row r="64" spans="1:6" ht="15.75" thickBot="1" x14ac:dyDescent="0.3">
      <c r="A64" s="42" t="s">
        <v>539</v>
      </c>
      <c r="B64" s="88" t="s">
        <v>551</v>
      </c>
      <c r="C64" s="43" t="s">
        <v>554</v>
      </c>
      <c r="D64" s="209">
        <v>2.37</v>
      </c>
      <c r="E64" s="215" t="s">
        <v>419</v>
      </c>
      <c r="F64" s="231" t="s">
        <v>580</v>
      </c>
    </row>
    <row r="65" spans="1:6" ht="15.75" thickBot="1" x14ac:dyDescent="0.3">
      <c r="A65" s="195" t="s">
        <v>539</v>
      </c>
      <c r="B65" s="210" t="s">
        <v>555</v>
      </c>
      <c r="C65" s="211" t="s">
        <v>556</v>
      </c>
      <c r="D65" s="212">
        <v>3.23</v>
      </c>
      <c r="E65" s="217" t="s">
        <v>419</v>
      </c>
      <c r="F65" s="232" t="s">
        <v>578</v>
      </c>
    </row>
    <row r="66" spans="1:6" x14ac:dyDescent="0.25">
      <c r="A66" s="47" t="s">
        <v>539</v>
      </c>
      <c r="B66" s="206" t="s">
        <v>557</v>
      </c>
      <c r="C66" s="36" t="s">
        <v>558</v>
      </c>
      <c r="D66" s="207">
        <v>2.79</v>
      </c>
      <c r="E66" s="213" t="s">
        <v>419</v>
      </c>
      <c r="F66" s="229" t="s">
        <v>578</v>
      </c>
    </row>
    <row r="67" spans="1:6" x14ac:dyDescent="0.25">
      <c r="A67" s="50" t="s">
        <v>539</v>
      </c>
      <c r="B67" s="201" t="s">
        <v>557</v>
      </c>
      <c r="C67" s="11" t="s">
        <v>559</v>
      </c>
      <c r="D67" s="204">
        <v>2.73</v>
      </c>
      <c r="E67" s="214" t="s">
        <v>419</v>
      </c>
      <c r="F67" s="230" t="s">
        <v>579</v>
      </c>
    </row>
    <row r="68" spans="1:6" ht="15.75" thickBot="1" x14ac:dyDescent="0.3">
      <c r="A68" s="42" t="s">
        <v>539</v>
      </c>
      <c r="B68" s="208" t="s">
        <v>557</v>
      </c>
      <c r="C68" s="43" t="s">
        <v>560</v>
      </c>
      <c r="D68" s="209">
        <v>2.61</v>
      </c>
      <c r="E68" s="215" t="s">
        <v>419</v>
      </c>
      <c r="F68" s="231" t="s">
        <v>580</v>
      </c>
    </row>
    <row r="69" spans="1:6" x14ac:dyDescent="0.25">
      <c r="A69" s="47" t="s">
        <v>539</v>
      </c>
      <c r="B69" s="206" t="s">
        <v>561</v>
      </c>
      <c r="C69" s="36" t="s">
        <v>562</v>
      </c>
      <c r="D69" s="207">
        <v>3.4</v>
      </c>
      <c r="E69" s="213" t="s">
        <v>419</v>
      </c>
      <c r="F69" s="229" t="s">
        <v>578</v>
      </c>
    </row>
    <row r="70" spans="1:6" x14ac:dyDescent="0.25">
      <c r="A70" s="50" t="s">
        <v>539</v>
      </c>
      <c r="B70" s="201" t="s">
        <v>561</v>
      </c>
      <c r="C70" s="11" t="s">
        <v>563</v>
      </c>
      <c r="D70" s="204">
        <v>3.25</v>
      </c>
      <c r="E70" s="214" t="s">
        <v>419</v>
      </c>
      <c r="F70" s="230" t="s">
        <v>579</v>
      </c>
    </row>
    <row r="71" spans="1:6" x14ac:dyDescent="0.25">
      <c r="A71" s="50" t="s">
        <v>539</v>
      </c>
      <c r="B71" s="201" t="s">
        <v>561</v>
      </c>
      <c r="C71" s="11" t="s">
        <v>564</v>
      </c>
      <c r="D71" s="204">
        <v>2.93</v>
      </c>
      <c r="E71" s="214" t="s">
        <v>419</v>
      </c>
      <c r="F71" s="230" t="s">
        <v>580</v>
      </c>
    </row>
    <row r="72" spans="1:6" ht="15.75" thickBot="1" x14ac:dyDescent="0.3">
      <c r="A72" s="117" t="s">
        <v>539</v>
      </c>
      <c r="B72" s="479" t="s">
        <v>561</v>
      </c>
      <c r="C72" s="480" t="s">
        <v>565</v>
      </c>
      <c r="D72" s="374">
        <v>2.5</v>
      </c>
      <c r="E72" s="216" t="s">
        <v>419</v>
      </c>
      <c r="F72" s="471" t="s">
        <v>581</v>
      </c>
    </row>
    <row r="73" spans="1:6" x14ac:dyDescent="0.25">
      <c r="A73" s="156" t="s">
        <v>867</v>
      </c>
      <c r="B73" s="49" t="s">
        <v>866</v>
      </c>
      <c r="C73" s="49" t="s">
        <v>858</v>
      </c>
      <c r="D73" s="38">
        <v>2.23</v>
      </c>
      <c r="E73" s="228" t="s">
        <v>419</v>
      </c>
      <c r="F73" s="229">
        <v>6</v>
      </c>
    </row>
    <row r="74" spans="1:6" x14ac:dyDescent="0.25">
      <c r="A74" s="95" t="s">
        <v>867</v>
      </c>
      <c r="B74" s="2" t="s">
        <v>866</v>
      </c>
      <c r="C74" s="2" t="s">
        <v>859</v>
      </c>
      <c r="D74" s="9">
        <v>2.67</v>
      </c>
      <c r="E74" s="225" t="s">
        <v>419</v>
      </c>
      <c r="F74" s="230">
        <v>2</v>
      </c>
    </row>
    <row r="75" spans="1:6" x14ac:dyDescent="0.25">
      <c r="A75" s="95" t="s">
        <v>867</v>
      </c>
      <c r="B75" s="2" t="s">
        <v>866</v>
      </c>
      <c r="C75" s="2" t="s">
        <v>860</v>
      </c>
      <c r="D75" s="9">
        <v>2.66</v>
      </c>
      <c r="E75" s="225" t="s">
        <v>419</v>
      </c>
      <c r="F75" s="230">
        <v>3</v>
      </c>
    </row>
    <row r="76" spans="1:6" x14ac:dyDescent="0.25">
      <c r="A76" s="95" t="s">
        <v>867</v>
      </c>
      <c r="B76" s="2" t="s">
        <v>866</v>
      </c>
      <c r="C76" s="2" t="s">
        <v>861</v>
      </c>
      <c r="D76" s="9">
        <v>2.7</v>
      </c>
      <c r="E76" s="225" t="s">
        <v>419</v>
      </c>
      <c r="F76" s="230">
        <v>1</v>
      </c>
    </row>
    <row r="77" spans="1:6" x14ac:dyDescent="0.25">
      <c r="A77" s="95" t="s">
        <v>867</v>
      </c>
      <c r="B77" s="2" t="s">
        <v>866</v>
      </c>
      <c r="C77" s="2" t="s">
        <v>862</v>
      </c>
      <c r="D77" s="9">
        <v>2.61</v>
      </c>
      <c r="E77" s="225" t="s">
        <v>419</v>
      </c>
      <c r="F77" s="230">
        <v>4</v>
      </c>
    </row>
    <row r="78" spans="1:6" x14ac:dyDescent="0.25">
      <c r="A78" s="2" t="s">
        <v>867</v>
      </c>
      <c r="B78" s="2" t="s">
        <v>866</v>
      </c>
      <c r="C78" s="2" t="s">
        <v>863</v>
      </c>
      <c r="D78" s="9">
        <v>2.39</v>
      </c>
      <c r="E78" s="225" t="s">
        <v>419</v>
      </c>
      <c r="F78" s="5">
        <v>5</v>
      </c>
    </row>
    <row r="79" spans="1:6" x14ac:dyDescent="0.25">
      <c r="A79" s="2" t="s">
        <v>867</v>
      </c>
      <c r="B79" s="2" t="s">
        <v>866</v>
      </c>
      <c r="C79" s="2" t="s">
        <v>864</v>
      </c>
      <c r="D79" s="9">
        <v>1.71</v>
      </c>
      <c r="E79" s="226" t="s">
        <v>420</v>
      </c>
      <c r="F79" s="5">
        <v>8</v>
      </c>
    </row>
    <row r="80" spans="1:6" ht="15.75" thickBot="1" x14ac:dyDescent="0.3">
      <c r="A80" s="179" t="s">
        <v>867</v>
      </c>
      <c r="B80" s="179" t="s">
        <v>866</v>
      </c>
      <c r="C80" s="179" t="s">
        <v>865</v>
      </c>
      <c r="D80" s="292">
        <v>1.92</v>
      </c>
      <c r="E80" s="383" t="s">
        <v>420</v>
      </c>
      <c r="F80" s="106">
        <v>7</v>
      </c>
    </row>
    <row r="81" spans="1:6" x14ac:dyDescent="0.25">
      <c r="A81" s="156" t="s">
        <v>1062</v>
      </c>
      <c r="B81" s="83" t="s">
        <v>537</v>
      </c>
      <c r="C81" s="49" t="str">
        <f>"619217823044"</f>
        <v>619217823044</v>
      </c>
      <c r="D81" s="542">
        <v>2.4900000000000002</v>
      </c>
      <c r="E81" s="228" t="s">
        <v>419</v>
      </c>
      <c r="F81" s="543">
        <v>6</v>
      </c>
    </row>
    <row r="82" spans="1:6" x14ac:dyDescent="0.25">
      <c r="A82" s="95" t="s">
        <v>1062</v>
      </c>
      <c r="B82" s="77" t="s">
        <v>537</v>
      </c>
      <c r="C82" s="2" t="str">
        <f>"619217823041"</f>
        <v>619217823041</v>
      </c>
      <c r="D82" s="400">
        <v>2.2599999999999998</v>
      </c>
      <c r="E82" s="225" t="s">
        <v>419</v>
      </c>
      <c r="F82" s="544">
        <v>11</v>
      </c>
    </row>
    <row r="83" spans="1:6" x14ac:dyDescent="0.25">
      <c r="A83" s="95" t="s">
        <v>1062</v>
      </c>
      <c r="B83" s="77" t="s">
        <v>537</v>
      </c>
      <c r="C83" s="2" t="str">
        <f>"619217823039"</f>
        <v>619217823039</v>
      </c>
      <c r="D83" s="400">
        <v>2.41</v>
      </c>
      <c r="E83" s="225" t="s">
        <v>419</v>
      </c>
      <c r="F83" s="544">
        <v>7</v>
      </c>
    </row>
    <row r="84" spans="1:6" x14ac:dyDescent="0.25">
      <c r="A84" s="95" t="s">
        <v>1062</v>
      </c>
      <c r="B84" s="77" t="s">
        <v>537</v>
      </c>
      <c r="C84" s="2" t="str">
        <f>"619217823037"</f>
        <v>619217823037</v>
      </c>
      <c r="D84" s="400">
        <v>2.38</v>
      </c>
      <c r="E84" s="225" t="s">
        <v>419</v>
      </c>
      <c r="F84" s="544">
        <v>9</v>
      </c>
    </row>
    <row r="85" spans="1:6" x14ac:dyDescent="0.25">
      <c r="A85" s="95" t="s">
        <v>1062</v>
      </c>
      <c r="B85" s="77" t="s">
        <v>537</v>
      </c>
      <c r="C85" s="2" t="str">
        <f>"619217823036"</f>
        <v>619217823036</v>
      </c>
      <c r="D85" s="400">
        <v>2.36</v>
      </c>
      <c r="E85" s="225" t="s">
        <v>419</v>
      </c>
      <c r="F85" s="544">
        <v>10</v>
      </c>
    </row>
    <row r="86" spans="1:6" x14ac:dyDescent="0.25">
      <c r="A86" s="95" t="s">
        <v>1062</v>
      </c>
      <c r="B86" s="77" t="s">
        <v>537</v>
      </c>
      <c r="C86" s="2" t="str">
        <f>"619217823035"</f>
        <v>619217823035</v>
      </c>
      <c r="D86" s="400">
        <v>3.26</v>
      </c>
      <c r="E86" s="225" t="s">
        <v>419</v>
      </c>
      <c r="F86" s="544">
        <v>1</v>
      </c>
    </row>
    <row r="87" spans="1:6" x14ac:dyDescent="0.25">
      <c r="A87" s="95" t="s">
        <v>1062</v>
      </c>
      <c r="B87" s="77" t="s">
        <v>537</v>
      </c>
      <c r="C87" s="2" t="str">
        <f>"619217823033"</f>
        <v>619217823033</v>
      </c>
      <c r="D87" s="400">
        <v>3.25</v>
      </c>
      <c r="E87" s="225" t="s">
        <v>419</v>
      </c>
      <c r="F87" s="544">
        <v>2</v>
      </c>
    </row>
    <row r="88" spans="1:6" x14ac:dyDescent="0.25">
      <c r="A88" s="95" t="s">
        <v>1062</v>
      </c>
      <c r="B88" s="77" t="s">
        <v>537</v>
      </c>
      <c r="C88" s="2" t="str">
        <f>"619217823032"</f>
        <v>619217823032</v>
      </c>
      <c r="D88" s="400">
        <v>2.39</v>
      </c>
      <c r="E88" s="225" t="s">
        <v>419</v>
      </c>
      <c r="F88" s="544">
        <v>8</v>
      </c>
    </row>
    <row r="89" spans="1:6" x14ac:dyDescent="0.25">
      <c r="A89" s="95" t="s">
        <v>1062</v>
      </c>
      <c r="B89" s="77" t="s">
        <v>537</v>
      </c>
      <c r="C89" s="2" t="str">
        <f>"619217823029"</f>
        <v>619217823029</v>
      </c>
      <c r="D89" s="400">
        <v>3.23</v>
      </c>
      <c r="E89" s="225" t="s">
        <v>419</v>
      </c>
      <c r="F89" s="544">
        <v>3</v>
      </c>
    </row>
    <row r="90" spans="1:6" x14ac:dyDescent="0.25">
      <c r="A90" s="95" t="s">
        <v>1062</v>
      </c>
      <c r="B90" s="77" t="s">
        <v>537</v>
      </c>
      <c r="C90" s="2" t="str">
        <f>"619217823028"</f>
        <v>619217823028</v>
      </c>
      <c r="D90" s="400">
        <v>2.56</v>
      </c>
      <c r="E90" s="225" t="s">
        <v>419</v>
      </c>
      <c r="F90" s="544">
        <v>4</v>
      </c>
    </row>
    <row r="91" spans="1:6" x14ac:dyDescent="0.25">
      <c r="A91" s="95" t="s">
        <v>1062</v>
      </c>
      <c r="B91" s="77" t="s">
        <v>537</v>
      </c>
      <c r="C91" s="2" t="str">
        <f>"619217823027"</f>
        <v>619217823027</v>
      </c>
      <c r="D91" s="400">
        <v>3.26</v>
      </c>
      <c r="E91" s="225" t="s">
        <v>419</v>
      </c>
      <c r="F91" s="544">
        <v>1</v>
      </c>
    </row>
    <row r="92" spans="1:6" x14ac:dyDescent="0.25">
      <c r="A92" s="95" t="s">
        <v>1062</v>
      </c>
      <c r="B92" s="77" t="s">
        <v>537</v>
      </c>
      <c r="C92" s="2" t="str">
        <f>"619217823026"</f>
        <v>619217823026</v>
      </c>
      <c r="D92" s="400">
        <v>2.2200000000000002</v>
      </c>
      <c r="E92" s="225" t="s">
        <v>419</v>
      </c>
      <c r="F92" s="544">
        <v>12</v>
      </c>
    </row>
    <row r="93" spans="1:6" x14ac:dyDescent="0.25">
      <c r="A93" s="95" t="s">
        <v>1062</v>
      </c>
      <c r="B93" s="77" t="s">
        <v>537</v>
      </c>
      <c r="C93" s="2" t="str">
        <f>"619217823023"</f>
        <v>619217823023</v>
      </c>
      <c r="D93" s="400">
        <v>2.52</v>
      </c>
      <c r="E93" s="225" t="s">
        <v>419</v>
      </c>
      <c r="F93" s="544">
        <v>5</v>
      </c>
    </row>
    <row r="94" spans="1:6" x14ac:dyDescent="0.25">
      <c r="A94" s="95" t="s">
        <v>1062</v>
      </c>
      <c r="B94" s="77" t="s">
        <v>537</v>
      </c>
      <c r="C94" s="2" t="str">
        <f>"619217823043"</f>
        <v>619217823043</v>
      </c>
      <c r="D94" s="400">
        <v>1.27</v>
      </c>
      <c r="E94" s="226" t="s">
        <v>420</v>
      </c>
      <c r="F94" s="544">
        <v>21</v>
      </c>
    </row>
    <row r="95" spans="1:6" x14ac:dyDescent="0.25">
      <c r="A95" s="95" t="s">
        <v>1062</v>
      </c>
      <c r="B95" s="77" t="s">
        <v>537</v>
      </c>
      <c r="C95" s="2" t="str">
        <f>"619217823042"</f>
        <v>619217823042</v>
      </c>
      <c r="D95" s="400">
        <v>2.14</v>
      </c>
      <c r="E95" s="226" t="s">
        <v>420</v>
      </c>
      <c r="F95" s="230">
        <v>16</v>
      </c>
    </row>
    <row r="96" spans="1:6" x14ac:dyDescent="0.25">
      <c r="A96" s="95" t="s">
        <v>1062</v>
      </c>
      <c r="B96" s="77" t="s">
        <v>537</v>
      </c>
      <c r="C96" s="2" t="str">
        <f>"619217823040"</f>
        <v>619217823040</v>
      </c>
      <c r="D96" s="400">
        <v>1.85</v>
      </c>
      <c r="E96" s="226" t="s">
        <v>420</v>
      </c>
      <c r="F96" s="230">
        <v>17</v>
      </c>
    </row>
    <row r="97" spans="1:6" x14ac:dyDescent="0.25">
      <c r="A97" s="95" t="s">
        <v>1062</v>
      </c>
      <c r="B97" s="77" t="s">
        <v>537</v>
      </c>
      <c r="C97" s="2" t="str">
        <f>"619217823038"</f>
        <v>619217823038</v>
      </c>
      <c r="D97" s="400">
        <v>1.81</v>
      </c>
      <c r="E97" s="226" t="s">
        <v>420</v>
      </c>
      <c r="F97" s="230">
        <v>18</v>
      </c>
    </row>
    <row r="98" spans="1:6" x14ac:dyDescent="0.25">
      <c r="A98" s="95" t="s">
        <v>1062</v>
      </c>
      <c r="B98" s="77" t="s">
        <v>537</v>
      </c>
      <c r="C98" s="2" t="str">
        <f>"619217823034"</f>
        <v>619217823034</v>
      </c>
      <c r="D98" s="400">
        <v>1.74</v>
      </c>
      <c r="E98" s="226" t="s">
        <v>420</v>
      </c>
      <c r="F98" s="230">
        <v>19</v>
      </c>
    </row>
    <row r="99" spans="1:6" x14ac:dyDescent="0.25">
      <c r="A99" s="95" t="s">
        <v>1062</v>
      </c>
      <c r="B99" s="77" t="s">
        <v>537</v>
      </c>
      <c r="C99" s="2" t="str">
        <f>"619217823031"</f>
        <v>619217823031</v>
      </c>
      <c r="D99" s="400">
        <v>2.33</v>
      </c>
      <c r="E99" s="226" t="s">
        <v>420</v>
      </c>
      <c r="F99" s="230">
        <v>14</v>
      </c>
    </row>
    <row r="100" spans="1:6" x14ac:dyDescent="0.25">
      <c r="A100" s="95" t="s">
        <v>1062</v>
      </c>
      <c r="B100" s="77" t="s">
        <v>537</v>
      </c>
      <c r="C100" s="2" t="str">
        <f>"619217823024"</f>
        <v>619217823024</v>
      </c>
      <c r="D100" s="400">
        <v>2.29</v>
      </c>
      <c r="E100" s="226" t="s">
        <v>420</v>
      </c>
      <c r="F100" s="230">
        <v>15</v>
      </c>
    </row>
    <row r="101" spans="1:6" x14ac:dyDescent="0.25">
      <c r="A101" s="95" t="s">
        <v>1062</v>
      </c>
      <c r="B101" s="77" t="s">
        <v>537</v>
      </c>
      <c r="C101" s="2" t="str">
        <f>"619217823022"</f>
        <v>619217823022</v>
      </c>
      <c r="D101" s="400">
        <v>2.34</v>
      </c>
      <c r="E101" s="226" t="s">
        <v>420</v>
      </c>
      <c r="F101" s="230">
        <v>13</v>
      </c>
    </row>
    <row r="102" spans="1:6" x14ac:dyDescent="0.25">
      <c r="A102" s="95" t="s">
        <v>1062</v>
      </c>
      <c r="B102" s="77" t="s">
        <v>537</v>
      </c>
      <c r="C102" s="2" t="str">
        <f>"619217823021"</f>
        <v>619217823021</v>
      </c>
      <c r="D102" s="400">
        <v>1.31</v>
      </c>
      <c r="E102" s="226" t="s">
        <v>420</v>
      </c>
      <c r="F102" s="230">
        <v>20</v>
      </c>
    </row>
    <row r="103" spans="1:6" x14ac:dyDescent="0.25">
      <c r="A103" s="95" t="s">
        <v>1062</v>
      </c>
      <c r="B103" s="77" t="s">
        <v>557</v>
      </c>
      <c r="C103" s="2" t="str">
        <f>"619217823030"</f>
        <v>619217823030</v>
      </c>
      <c r="D103" s="400">
        <v>3.05</v>
      </c>
      <c r="E103" s="225" t="s">
        <v>419</v>
      </c>
      <c r="F103" s="544">
        <v>1</v>
      </c>
    </row>
    <row r="104" spans="1:6" x14ac:dyDescent="0.25">
      <c r="A104" s="235" t="s">
        <v>1062</v>
      </c>
      <c r="B104" s="488" t="s">
        <v>561</v>
      </c>
      <c r="C104" s="179" t="str">
        <f>"619217823025"</f>
        <v>619217823025</v>
      </c>
      <c r="D104" s="553">
        <v>3.15</v>
      </c>
      <c r="E104" s="366" t="s">
        <v>419</v>
      </c>
      <c r="F104" s="605">
        <v>1</v>
      </c>
    </row>
    <row r="105" spans="1:6" x14ac:dyDescent="0.25">
      <c r="A105" s="26" t="s">
        <v>1103</v>
      </c>
      <c r="B105" s="77" t="s">
        <v>1104</v>
      </c>
      <c r="C105" s="2">
        <v>19201800159</v>
      </c>
      <c r="D105" s="2">
        <v>3.22</v>
      </c>
      <c r="E105" s="225" t="s">
        <v>419</v>
      </c>
      <c r="F105" s="5" t="s">
        <v>578</v>
      </c>
    </row>
    <row r="106" spans="1:6" x14ac:dyDescent="0.25">
      <c r="A106" s="26" t="s">
        <v>1103</v>
      </c>
      <c r="B106" s="77" t="s">
        <v>1104</v>
      </c>
      <c r="C106" s="2">
        <v>19201800172</v>
      </c>
      <c r="D106" s="2">
        <v>3.08</v>
      </c>
      <c r="E106" s="225" t="s">
        <v>419</v>
      </c>
      <c r="F106" s="5" t="s">
        <v>579</v>
      </c>
    </row>
    <row r="107" spans="1:6" x14ac:dyDescent="0.25">
      <c r="A107" s="26" t="s">
        <v>1103</v>
      </c>
      <c r="B107" s="77" t="s">
        <v>1104</v>
      </c>
      <c r="C107" s="2">
        <v>19201800165</v>
      </c>
      <c r="D107" s="2">
        <v>2.87</v>
      </c>
      <c r="E107" s="225" t="s">
        <v>419</v>
      </c>
      <c r="F107" s="5" t="s">
        <v>580</v>
      </c>
    </row>
    <row r="108" spans="1:6" x14ac:dyDescent="0.25">
      <c r="A108" s="26" t="s">
        <v>1103</v>
      </c>
      <c r="B108" s="77" t="s">
        <v>1104</v>
      </c>
      <c r="C108" s="2">
        <v>19201800158</v>
      </c>
      <c r="D108" s="2">
        <v>2.57</v>
      </c>
      <c r="E108" s="225" t="s">
        <v>419</v>
      </c>
      <c r="F108" s="5" t="s">
        <v>581</v>
      </c>
    </row>
    <row r="109" spans="1:6" x14ac:dyDescent="0.25">
      <c r="A109" s="26" t="s">
        <v>1103</v>
      </c>
      <c r="B109" s="77" t="s">
        <v>1104</v>
      </c>
      <c r="C109" s="2">
        <v>19201800147</v>
      </c>
      <c r="D109" s="2">
        <v>2.5499999999999998</v>
      </c>
      <c r="E109" s="225" t="s">
        <v>419</v>
      </c>
      <c r="F109" s="5" t="s">
        <v>582</v>
      </c>
    </row>
    <row r="110" spans="1:6" x14ac:dyDescent="0.25">
      <c r="A110" s="26" t="s">
        <v>1103</v>
      </c>
      <c r="B110" s="77" t="s">
        <v>1104</v>
      </c>
      <c r="C110" s="2">
        <v>19201800066</v>
      </c>
      <c r="D110" s="2">
        <v>2.5099999999999998</v>
      </c>
      <c r="E110" s="225" t="s">
        <v>419</v>
      </c>
      <c r="F110" s="5" t="s">
        <v>583</v>
      </c>
    </row>
    <row r="111" spans="1:6" x14ac:dyDescent="0.25">
      <c r="A111" s="26" t="s">
        <v>1103</v>
      </c>
      <c r="B111" s="77" t="s">
        <v>1104</v>
      </c>
      <c r="C111" s="2">
        <v>19201800105</v>
      </c>
      <c r="D111" s="2">
        <v>2.38</v>
      </c>
      <c r="E111" s="225" t="s">
        <v>419</v>
      </c>
      <c r="F111" s="5" t="s">
        <v>584</v>
      </c>
    </row>
    <row r="112" spans="1:6" x14ac:dyDescent="0.25">
      <c r="A112" s="26" t="s">
        <v>1103</v>
      </c>
      <c r="B112" s="77" t="s">
        <v>1104</v>
      </c>
      <c r="C112" s="2">
        <v>19201800108</v>
      </c>
      <c r="D112" s="2">
        <v>2.33</v>
      </c>
      <c r="E112" s="225" t="s">
        <v>419</v>
      </c>
      <c r="F112" s="5" t="s">
        <v>585</v>
      </c>
    </row>
    <row r="113" spans="1:6" x14ac:dyDescent="0.25">
      <c r="A113" s="26" t="s">
        <v>1103</v>
      </c>
      <c r="B113" s="77" t="s">
        <v>1104</v>
      </c>
      <c r="C113" s="2">
        <v>19201800148</v>
      </c>
      <c r="D113" s="2">
        <v>2.25</v>
      </c>
      <c r="E113" s="225" t="s">
        <v>419</v>
      </c>
      <c r="F113" s="5" t="s">
        <v>586</v>
      </c>
    </row>
    <row r="114" spans="1:6" x14ac:dyDescent="0.25">
      <c r="A114" s="26" t="s">
        <v>1103</v>
      </c>
      <c r="B114" s="77" t="s">
        <v>1104</v>
      </c>
      <c r="C114" s="2">
        <v>19201800157</v>
      </c>
      <c r="D114" s="2">
        <v>2.15</v>
      </c>
      <c r="E114" s="225" t="s">
        <v>419</v>
      </c>
      <c r="F114" s="5" t="s">
        <v>587</v>
      </c>
    </row>
    <row r="115" spans="1:6" x14ac:dyDescent="0.25">
      <c r="A115" s="26" t="s">
        <v>1103</v>
      </c>
      <c r="B115" s="77" t="s">
        <v>1104</v>
      </c>
      <c r="C115" s="2">
        <v>19201800167</v>
      </c>
      <c r="D115" s="2">
        <v>1.99</v>
      </c>
      <c r="E115" s="226" t="s">
        <v>420</v>
      </c>
      <c r="F115" s="5" t="s">
        <v>588</v>
      </c>
    </row>
    <row r="116" spans="1:6" x14ac:dyDescent="0.25">
      <c r="A116" s="26" t="s">
        <v>1107</v>
      </c>
      <c r="B116" s="77" t="s">
        <v>486</v>
      </c>
      <c r="C116" s="2">
        <v>19201800179</v>
      </c>
      <c r="D116" s="2">
        <v>3.54</v>
      </c>
      <c r="E116" s="225" t="s">
        <v>419</v>
      </c>
      <c r="F116" s="5" t="s">
        <v>578</v>
      </c>
    </row>
    <row r="117" spans="1:6" x14ac:dyDescent="0.25">
      <c r="A117" s="2" t="s">
        <v>1107</v>
      </c>
      <c r="B117" s="77" t="s">
        <v>486</v>
      </c>
      <c r="C117" s="2">
        <v>19201800181</v>
      </c>
      <c r="D117" s="2">
        <v>2.89</v>
      </c>
      <c r="E117" s="225" t="s">
        <v>419</v>
      </c>
      <c r="F117" s="5" t="s">
        <v>579</v>
      </c>
    </row>
    <row r="118" spans="1:6" x14ac:dyDescent="0.25">
      <c r="A118" s="2" t="s">
        <v>1107</v>
      </c>
      <c r="B118" s="77" t="s">
        <v>486</v>
      </c>
      <c r="C118" s="2">
        <v>19201800182</v>
      </c>
      <c r="D118" s="2">
        <v>2.86</v>
      </c>
      <c r="E118" s="225" t="s">
        <v>419</v>
      </c>
      <c r="F118" s="5" t="s">
        <v>580</v>
      </c>
    </row>
    <row r="119" spans="1:6" x14ac:dyDescent="0.25">
      <c r="A119" s="2" t="s">
        <v>1107</v>
      </c>
      <c r="B119" s="77" t="s">
        <v>486</v>
      </c>
      <c r="C119" s="2">
        <v>19201800183</v>
      </c>
      <c r="D119" s="2">
        <v>2.79</v>
      </c>
      <c r="E119" s="225" t="s">
        <v>419</v>
      </c>
      <c r="F119" s="5" t="s">
        <v>581</v>
      </c>
    </row>
    <row r="120" spans="1:6" x14ac:dyDescent="0.25">
      <c r="A120" s="2" t="s">
        <v>1107</v>
      </c>
      <c r="B120" s="77" t="s">
        <v>486</v>
      </c>
      <c r="C120" s="2">
        <v>19201800189</v>
      </c>
      <c r="D120" s="2">
        <v>2.79</v>
      </c>
      <c r="E120" s="225" t="s">
        <v>419</v>
      </c>
      <c r="F120" s="5" t="s">
        <v>582</v>
      </c>
    </row>
    <row r="121" spans="1:6" x14ac:dyDescent="0.25">
      <c r="A121" s="2" t="s">
        <v>1107</v>
      </c>
      <c r="B121" s="77" t="s">
        <v>486</v>
      </c>
      <c r="C121" s="2">
        <v>19201800186</v>
      </c>
      <c r="D121" s="2">
        <v>2.75</v>
      </c>
      <c r="E121" s="225" t="s">
        <v>419</v>
      </c>
      <c r="F121" s="5" t="s">
        <v>583</v>
      </c>
    </row>
    <row r="122" spans="1:6" x14ac:dyDescent="0.25">
      <c r="A122" s="2" t="s">
        <v>1107</v>
      </c>
      <c r="B122" s="77" t="s">
        <v>486</v>
      </c>
      <c r="C122" s="2">
        <v>19201800188</v>
      </c>
      <c r="D122" s="2">
        <v>2.21</v>
      </c>
      <c r="E122" s="225" t="s">
        <v>419</v>
      </c>
      <c r="F122" s="5" t="s">
        <v>584</v>
      </c>
    </row>
    <row r="123" spans="1:6" s="635" customFormat="1" ht="15.75" thickBot="1" x14ac:dyDescent="0.3">
      <c r="A123" s="51" t="s">
        <v>1107</v>
      </c>
      <c r="B123" s="84" t="s">
        <v>486</v>
      </c>
      <c r="C123" s="51">
        <v>19201800185</v>
      </c>
      <c r="D123" s="51">
        <v>1.89</v>
      </c>
      <c r="E123" s="234" t="s">
        <v>420</v>
      </c>
      <c r="F123" s="44" t="s">
        <v>585</v>
      </c>
    </row>
    <row r="124" spans="1:6" x14ac:dyDescent="0.25">
      <c r="A124" s="625" t="s">
        <v>1149</v>
      </c>
      <c r="B124" s="221" t="s">
        <v>1150</v>
      </c>
      <c r="C124" s="634">
        <v>19201800946</v>
      </c>
      <c r="D124" s="86">
        <v>2.69</v>
      </c>
      <c r="E124" s="233" t="s">
        <v>419</v>
      </c>
      <c r="F124" s="185" t="s">
        <v>578</v>
      </c>
    </row>
    <row r="125" spans="1:6" x14ac:dyDescent="0.25">
      <c r="A125" s="26" t="s">
        <v>1149</v>
      </c>
      <c r="B125" s="25" t="s">
        <v>1150</v>
      </c>
      <c r="C125" s="30">
        <v>19201800933</v>
      </c>
      <c r="D125" s="2">
        <v>2.62</v>
      </c>
      <c r="E125" s="225" t="s">
        <v>419</v>
      </c>
      <c r="F125" s="5" t="s">
        <v>579</v>
      </c>
    </row>
    <row r="126" spans="1:6" x14ac:dyDescent="0.25">
      <c r="A126" s="26" t="s">
        <v>1149</v>
      </c>
      <c r="B126" s="25" t="s">
        <v>1150</v>
      </c>
      <c r="C126" s="30">
        <v>19201800948</v>
      </c>
      <c r="D126" s="2">
        <v>2.57</v>
      </c>
      <c r="E126" s="225" t="s">
        <v>419</v>
      </c>
      <c r="F126" s="5" t="s">
        <v>580</v>
      </c>
    </row>
    <row r="127" spans="1:6" x14ac:dyDescent="0.25">
      <c r="A127" s="26" t="s">
        <v>1149</v>
      </c>
      <c r="B127" s="25" t="s">
        <v>1150</v>
      </c>
      <c r="C127" s="30">
        <v>19201800943</v>
      </c>
      <c r="D127" s="2">
        <v>2.56</v>
      </c>
      <c r="E127" s="225" t="s">
        <v>419</v>
      </c>
      <c r="F127" s="5" t="s">
        <v>581</v>
      </c>
    </row>
    <row r="128" spans="1:6" x14ac:dyDescent="0.25">
      <c r="A128" s="26" t="s">
        <v>1149</v>
      </c>
      <c r="B128" s="25" t="s">
        <v>1150</v>
      </c>
      <c r="C128" s="30">
        <v>19201800945</v>
      </c>
      <c r="D128" s="2">
        <v>2.35</v>
      </c>
      <c r="E128" s="225" t="s">
        <v>419</v>
      </c>
      <c r="F128" s="5" t="s">
        <v>582</v>
      </c>
    </row>
    <row r="129" spans="1:6" x14ac:dyDescent="0.25">
      <c r="A129" s="26" t="s">
        <v>1149</v>
      </c>
      <c r="B129" s="25" t="s">
        <v>1150</v>
      </c>
      <c r="C129" s="30">
        <v>19201800932</v>
      </c>
      <c r="D129" s="2">
        <v>2.34</v>
      </c>
      <c r="E129" s="225" t="s">
        <v>419</v>
      </c>
      <c r="F129" s="5" t="s">
        <v>583</v>
      </c>
    </row>
    <row r="130" spans="1:6" x14ac:dyDescent="0.25">
      <c r="A130" s="26" t="s">
        <v>1149</v>
      </c>
      <c r="B130" s="25" t="s">
        <v>1150</v>
      </c>
      <c r="C130" s="30">
        <v>19201800893</v>
      </c>
      <c r="D130" s="2">
        <v>2.2799999999999998</v>
      </c>
      <c r="E130" s="225" t="s">
        <v>419</v>
      </c>
      <c r="F130" s="5" t="s">
        <v>584</v>
      </c>
    </row>
    <row r="131" spans="1:6" x14ac:dyDescent="0.25">
      <c r="A131" s="26" t="s">
        <v>1149</v>
      </c>
      <c r="B131" s="25" t="s">
        <v>1150</v>
      </c>
      <c r="C131" s="30">
        <v>19201800931</v>
      </c>
      <c r="D131" s="2">
        <v>2.25</v>
      </c>
      <c r="E131" s="225" t="s">
        <v>419</v>
      </c>
      <c r="F131" s="5" t="s">
        <v>585</v>
      </c>
    </row>
    <row r="132" spans="1:6" x14ac:dyDescent="0.25">
      <c r="A132" s="26" t="s">
        <v>1149</v>
      </c>
      <c r="B132" s="25" t="s">
        <v>1150</v>
      </c>
      <c r="C132" s="30">
        <v>19201800939</v>
      </c>
      <c r="D132" s="2">
        <v>2.2400000000000002</v>
      </c>
      <c r="E132" s="225" t="s">
        <v>419</v>
      </c>
      <c r="F132" s="5" t="s">
        <v>586</v>
      </c>
    </row>
    <row r="133" spans="1:6" x14ac:dyDescent="0.25">
      <c r="A133" s="26" t="s">
        <v>1149</v>
      </c>
      <c r="B133" s="25" t="s">
        <v>1150</v>
      </c>
      <c r="C133" s="30">
        <v>19201800941</v>
      </c>
      <c r="D133" s="2">
        <v>2.23</v>
      </c>
      <c r="E133" s="225" t="s">
        <v>419</v>
      </c>
      <c r="F133" s="5" t="s">
        <v>587</v>
      </c>
    </row>
    <row r="134" spans="1:6" x14ac:dyDescent="0.25">
      <c r="A134" s="26" t="s">
        <v>1149</v>
      </c>
      <c r="B134" s="25" t="s">
        <v>1150</v>
      </c>
      <c r="C134" s="30">
        <v>19201800940</v>
      </c>
      <c r="D134" s="2">
        <v>2.16</v>
      </c>
      <c r="E134" s="225" t="s">
        <v>419</v>
      </c>
      <c r="F134" s="5" t="s">
        <v>588</v>
      </c>
    </row>
    <row r="135" spans="1:6" x14ac:dyDescent="0.25">
      <c r="A135" s="26" t="s">
        <v>1149</v>
      </c>
      <c r="B135" s="25" t="s">
        <v>1150</v>
      </c>
      <c r="C135" s="5">
        <v>19201800944</v>
      </c>
      <c r="D135" s="2">
        <v>2.14</v>
      </c>
      <c r="E135" s="226" t="s">
        <v>420</v>
      </c>
      <c r="F135" s="5" t="s">
        <v>589</v>
      </c>
    </row>
    <row r="136" spans="1:6" x14ac:dyDescent="0.25">
      <c r="A136" s="26" t="s">
        <v>1149</v>
      </c>
      <c r="B136" s="25" t="s">
        <v>1150</v>
      </c>
      <c r="C136" s="5">
        <v>19201800928</v>
      </c>
      <c r="D136" s="2">
        <v>2.13</v>
      </c>
      <c r="E136" s="226" t="s">
        <v>420</v>
      </c>
      <c r="F136" s="5" t="s">
        <v>590</v>
      </c>
    </row>
    <row r="137" spans="1:6" x14ac:dyDescent="0.25">
      <c r="A137" s="26" t="s">
        <v>1149</v>
      </c>
      <c r="B137" s="25" t="s">
        <v>1150</v>
      </c>
      <c r="C137" s="5">
        <v>19201800934</v>
      </c>
      <c r="D137" s="2">
        <v>2.0499999999999998</v>
      </c>
      <c r="E137" s="226" t="s">
        <v>420</v>
      </c>
      <c r="F137" s="5" t="s">
        <v>591</v>
      </c>
    </row>
    <row r="138" spans="1:6" x14ac:dyDescent="0.25">
      <c r="A138" s="26" t="s">
        <v>1149</v>
      </c>
      <c r="B138" s="25" t="s">
        <v>1150</v>
      </c>
      <c r="C138" s="5">
        <v>19201800936</v>
      </c>
      <c r="D138" s="2">
        <v>2.02</v>
      </c>
      <c r="E138" s="226" t="s">
        <v>420</v>
      </c>
      <c r="F138" s="5" t="s">
        <v>592</v>
      </c>
    </row>
    <row r="139" spans="1:6" x14ac:dyDescent="0.25">
      <c r="A139" s="26" t="s">
        <v>1149</v>
      </c>
      <c r="B139" s="25" t="s">
        <v>1150</v>
      </c>
      <c r="C139" s="5">
        <v>19201800929</v>
      </c>
      <c r="D139" s="2">
        <v>1.63</v>
      </c>
      <c r="E139" s="226" t="s">
        <v>420</v>
      </c>
      <c r="F139" s="5" t="s">
        <v>593</v>
      </c>
    </row>
    <row r="140" spans="1:6" x14ac:dyDescent="0.25">
      <c r="A140" s="26" t="s">
        <v>1149</v>
      </c>
      <c r="B140" s="25" t="s">
        <v>1150</v>
      </c>
      <c r="C140" s="5">
        <v>19201800930</v>
      </c>
      <c r="D140" s="2">
        <v>1.61</v>
      </c>
      <c r="E140" s="226" t="s">
        <v>420</v>
      </c>
      <c r="F140" s="5" t="s">
        <v>594</v>
      </c>
    </row>
    <row r="141" spans="1:6" x14ac:dyDescent="0.25">
      <c r="A141" s="26" t="s">
        <v>1149</v>
      </c>
      <c r="B141" s="25" t="s">
        <v>1150</v>
      </c>
      <c r="C141" s="5">
        <v>19201800860</v>
      </c>
      <c r="D141" s="2">
        <v>1.55</v>
      </c>
      <c r="E141" s="226" t="s">
        <v>420</v>
      </c>
      <c r="F141" s="5" t="s">
        <v>595</v>
      </c>
    </row>
    <row r="142" spans="1:6" x14ac:dyDescent="0.25">
      <c r="A142" s="26" t="s">
        <v>1149</v>
      </c>
      <c r="B142" s="25" t="s">
        <v>1150</v>
      </c>
      <c r="C142" s="5">
        <v>19201800937</v>
      </c>
      <c r="D142" s="2">
        <v>0.86</v>
      </c>
      <c r="E142" s="226" t="s">
        <v>420</v>
      </c>
      <c r="F142" s="5" t="s">
        <v>596</v>
      </c>
    </row>
    <row r="143" spans="1:6" x14ac:dyDescent="0.25">
      <c r="A143" s="26" t="s">
        <v>1149</v>
      </c>
      <c r="B143" s="221" t="s">
        <v>551</v>
      </c>
      <c r="C143" s="5">
        <v>19201800947</v>
      </c>
      <c r="D143" s="26">
        <v>2.36</v>
      </c>
      <c r="E143" s="225" t="s">
        <v>419</v>
      </c>
      <c r="F143" s="5" t="s">
        <v>578</v>
      </c>
    </row>
    <row r="144" spans="1:6" x14ac:dyDescent="0.25">
      <c r="A144" s="26" t="s">
        <v>1149</v>
      </c>
      <c r="B144" s="488" t="s">
        <v>561</v>
      </c>
      <c r="C144" s="5">
        <v>19201800942</v>
      </c>
      <c r="D144" s="26">
        <v>2.72</v>
      </c>
      <c r="E144" s="225" t="s">
        <v>419</v>
      </c>
      <c r="F144" s="5" t="s">
        <v>578</v>
      </c>
    </row>
    <row r="145" spans="1:6" x14ac:dyDescent="0.25">
      <c r="A145" s="26" t="s">
        <v>1149</v>
      </c>
      <c r="B145" s="488" t="s">
        <v>561</v>
      </c>
      <c r="C145" s="5">
        <v>19201800935</v>
      </c>
      <c r="D145" s="26">
        <v>2.57</v>
      </c>
      <c r="E145" s="225" t="s">
        <v>419</v>
      </c>
      <c r="F145" s="5" t="s">
        <v>579</v>
      </c>
    </row>
    <row r="146" spans="1:6" x14ac:dyDescent="0.25">
      <c r="A146" s="26" t="s">
        <v>1149</v>
      </c>
      <c r="B146" s="77" t="s">
        <v>561</v>
      </c>
      <c r="C146" s="5">
        <v>19201800938</v>
      </c>
      <c r="D146" s="26">
        <v>2.42</v>
      </c>
      <c r="E146" s="225" t="s">
        <v>419</v>
      </c>
      <c r="F146" s="5" t="s">
        <v>580</v>
      </c>
    </row>
    <row r="147" spans="1:6" x14ac:dyDescent="0.25">
      <c r="A147" s="17" t="s">
        <v>1175</v>
      </c>
      <c r="B147" s="77" t="s">
        <v>1174</v>
      </c>
      <c r="C147" s="5">
        <v>19201900180</v>
      </c>
      <c r="D147" s="2">
        <v>3.36</v>
      </c>
      <c r="E147" s="225" t="s">
        <v>419</v>
      </c>
      <c r="F147" s="5" t="s">
        <v>578</v>
      </c>
    </row>
    <row r="148" spans="1:6" x14ac:dyDescent="0.25">
      <c r="A148" s="17" t="s">
        <v>1175</v>
      </c>
      <c r="B148" s="77" t="s">
        <v>1174</v>
      </c>
      <c r="C148" s="5">
        <v>19201900132</v>
      </c>
      <c r="D148" s="2">
        <v>2.81</v>
      </c>
      <c r="E148" s="225" t="s">
        <v>419</v>
      </c>
      <c r="F148" s="5" t="s">
        <v>579</v>
      </c>
    </row>
    <row r="149" spans="1:6" x14ac:dyDescent="0.25">
      <c r="A149" s="17" t="s">
        <v>1175</v>
      </c>
      <c r="B149" s="77" t="s">
        <v>1174</v>
      </c>
      <c r="C149" s="5">
        <v>19201900182</v>
      </c>
      <c r="D149" s="2">
        <v>2.79</v>
      </c>
      <c r="E149" s="225" t="s">
        <v>419</v>
      </c>
      <c r="F149" s="5" t="s">
        <v>580</v>
      </c>
    </row>
    <row r="150" spans="1:6" x14ac:dyDescent="0.25">
      <c r="A150" s="17" t="s">
        <v>1175</v>
      </c>
      <c r="B150" s="77" t="s">
        <v>1174</v>
      </c>
      <c r="C150" s="5">
        <v>19201900139</v>
      </c>
      <c r="D150" s="2">
        <v>2.68</v>
      </c>
      <c r="E150" s="225" t="s">
        <v>419</v>
      </c>
      <c r="F150" s="5" t="s">
        <v>581</v>
      </c>
    </row>
    <row r="151" spans="1:6" x14ac:dyDescent="0.25">
      <c r="A151" s="17" t="s">
        <v>1175</v>
      </c>
      <c r="B151" s="77" t="s">
        <v>1174</v>
      </c>
      <c r="C151" s="5">
        <v>19201900187</v>
      </c>
      <c r="D151" s="2">
        <v>2.42</v>
      </c>
      <c r="E151" s="225" t="s">
        <v>419</v>
      </c>
      <c r="F151" s="5" t="s">
        <v>582</v>
      </c>
    </row>
    <row r="152" spans="1:6" x14ac:dyDescent="0.25">
      <c r="A152" s="17" t="s">
        <v>1175</v>
      </c>
      <c r="B152" s="77" t="s">
        <v>1174</v>
      </c>
      <c r="C152" s="5">
        <v>19201900177</v>
      </c>
      <c r="D152" s="2">
        <v>2.41</v>
      </c>
      <c r="E152" s="225" t="s">
        <v>419</v>
      </c>
      <c r="F152" s="5" t="s">
        <v>583</v>
      </c>
    </row>
    <row r="153" spans="1:6" x14ac:dyDescent="0.25">
      <c r="A153" s="17" t="s">
        <v>1175</v>
      </c>
      <c r="B153" s="77" t="s">
        <v>1174</v>
      </c>
      <c r="C153" s="5">
        <v>19201900183</v>
      </c>
      <c r="D153" s="2">
        <v>2.29</v>
      </c>
      <c r="E153" s="225" t="s">
        <v>419</v>
      </c>
      <c r="F153" s="5" t="s">
        <v>584</v>
      </c>
    </row>
    <row r="154" spans="1:6" x14ac:dyDescent="0.25">
      <c r="A154" s="17" t="s">
        <v>1175</v>
      </c>
      <c r="B154" s="77" t="s">
        <v>1174</v>
      </c>
      <c r="C154" s="5">
        <v>19201900131</v>
      </c>
      <c r="D154" s="2">
        <v>2.19</v>
      </c>
      <c r="E154" s="225" t="s">
        <v>419</v>
      </c>
      <c r="F154" s="5" t="s">
        <v>585</v>
      </c>
    </row>
    <row r="155" spans="1:6" x14ac:dyDescent="0.25">
      <c r="A155" s="17" t="s">
        <v>1175</v>
      </c>
      <c r="B155" s="77" t="s">
        <v>1174</v>
      </c>
      <c r="C155" s="5">
        <v>19201900186</v>
      </c>
      <c r="D155" s="2">
        <v>2.17</v>
      </c>
      <c r="E155" s="225" t="s">
        <v>419</v>
      </c>
      <c r="F155" s="5" t="s">
        <v>586</v>
      </c>
    </row>
    <row r="156" spans="1:6" x14ac:dyDescent="0.25">
      <c r="A156" s="17" t="s">
        <v>1175</v>
      </c>
      <c r="B156" s="77" t="s">
        <v>1174</v>
      </c>
      <c r="C156" s="5">
        <v>19201900181</v>
      </c>
      <c r="D156" s="2">
        <v>2.14</v>
      </c>
      <c r="E156" s="225" t="s">
        <v>419</v>
      </c>
      <c r="F156" s="5" t="s">
        <v>587</v>
      </c>
    </row>
    <row r="157" spans="1:6" x14ac:dyDescent="0.25">
      <c r="A157" s="17" t="s">
        <v>1175</v>
      </c>
      <c r="B157" s="77" t="s">
        <v>1174</v>
      </c>
      <c r="C157" s="5">
        <v>19201900178</v>
      </c>
      <c r="D157" s="2">
        <v>1.7</v>
      </c>
      <c r="E157" s="226" t="s">
        <v>420</v>
      </c>
      <c r="F157" s="5" t="s">
        <v>588</v>
      </c>
    </row>
    <row r="158" spans="1:6" x14ac:dyDescent="0.25">
      <c r="A158" s="632" t="s">
        <v>1178</v>
      </c>
      <c r="B158" s="77" t="s">
        <v>486</v>
      </c>
      <c r="C158" s="2">
        <v>19201900227</v>
      </c>
      <c r="D158" s="2">
        <v>3.27</v>
      </c>
      <c r="E158" s="225" t="s">
        <v>419</v>
      </c>
      <c r="F158" s="5" t="s">
        <v>578</v>
      </c>
    </row>
    <row r="159" spans="1:6" x14ac:dyDescent="0.25">
      <c r="A159" s="632" t="s">
        <v>1178</v>
      </c>
      <c r="B159" s="77" t="s">
        <v>486</v>
      </c>
      <c r="C159" s="2">
        <v>19201900221</v>
      </c>
      <c r="D159" s="2">
        <v>2.99</v>
      </c>
      <c r="E159" s="225" t="s">
        <v>419</v>
      </c>
      <c r="F159" s="5" t="s">
        <v>579</v>
      </c>
    </row>
    <row r="160" spans="1:6" x14ac:dyDescent="0.25">
      <c r="A160" s="632" t="s">
        <v>1178</v>
      </c>
      <c r="B160" s="77" t="s">
        <v>486</v>
      </c>
      <c r="C160" s="2">
        <v>19201900229</v>
      </c>
      <c r="D160" s="2">
        <v>2.96</v>
      </c>
      <c r="E160" s="225" t="s">
        <v>419</v>
      </c>
      <c r="F160" s="5" t="s">
        <v>580</v>
      </c>
    </row>
    <row r="161" spans="1:7" x14ac:dyDescent="0.25">
      <c r="A161" s="632" t="s">
        <v>1178</v>
      </c>
      <c r="B161" s="77" t="s">
        <v>486</v>
      </c>
      <c r="C161" s="2">
        <v>19201900225</v>
      </c>
      <c r="D161" s="2">
        <v>2.7</v>
      </c>
      <c r="E161" s="225" t="s">
        <v>419</v>
      </c>
      <c r="F161" s="5" t="s">
        <v>581</v>
      </c>
    </row>
    <row r="162" spans="1:7" x14ac:dyDescent="0.25">
      <c r="A162" s="632" t="s">
        <v>1178</v>
      </c>
      <c r="B162" s="77" t="s">
        <v>486</v>
      </c>
      <c r="C162" s="2">
        <v>19201900226</v>
      </c>
      <c r="D162" s="2">
        <v>2.66</v>
      </c>
      <c r="E162" s="225" t="s">
        <v>419</v>
      </c>
      <c r="F162" s="5" t="s">
        <v>582</v>
      </c>
    </row>
    <row r="163" spans="1:7" x14ac:dyDescent="0.25">
      <c r="A163" s="632" t="s">
        <v>1178</v>
      </c>
      <c r="B163" s="77" t="s">
        <v>486</v>
      </c>
      <c r="C163" s="2">
        <v>19201900231</v>
      </c>
      <c r="D163" s="2">
        <v>2.0299999999999998</v>
      </c>
      <c r="E163" s="226" t="s">
        <v>420</v>
      </c>
      <c r="F163" s="5" t="s">
        <v>583</v>
      </c>
    </row>
    <row r="164" spans="1:7" x14ac:dyDescent="0.25">
      <c r="A164" s="632" t="s">
        <v>1205</v>
      </c>
      <c r="B164" s="25" t="s">
        <v>1150</v>
      </c>
      <c r="C164" s="2">
        <v>19201900740</v>
      </c>
      <c r="D164" s="2">
        <v>2.52</v>
      </c>
      <c r="E164" s="225" t="s">
        <v>419</v>
      </c>
      <c r="F164" s="5" t="s">
        <v>578</v>
      </c>
    </row>
    <row r="165" spans="1:7" x14ac:dyDescent="0.25">
      <c r="A165" s="632" t="s">
        <v>1205</v>
      </c>
      <c r="B165" s="25" t="s">
        <v>1150</v>
      </c>
      <c r="C165" s="2">
        <v>19201900808</v>
      </c>
      <c r="D165" s="2">
        <v>2.5099999999999998</v>
      </c>
      <c r="E165" s="225" t="s">
        <v>419</v>
      </c>
      <c r="F165" s="5" t="s">
        <v>579</v>
      </c>
    </row>
    <row r="166" spans="1:7" x14ac:dyDescent="0.25">
      <c r="A166" s="632" t="s">
        <v>1205</v>
      </c>
      <c r="B166" s="25" t="s">
        <v>1150</v>
      </c>
      <c r="C166" s="2">
        <v>19201900778</v>
      </c>
      <c r="D166" s="2">
        <v>2.23</v>
      </c>
      <c r="E166" s="225" t="s">
        <v>419</v>
      </c>
      <c r="F166" s="5" t="s">
        <v>580</v>
      </c>
    </row>
    <row r="167" spans="1:7" x14ac:dyDescent="0.25">
      <c r="A167" s="632" t="s">
        <v>1205</v>
      </c>
      <c r="B167" s="25" t="s">
        <v>1150</v>
      </c>
      <c r="C167" s="2">
        <v>19201900755</v>
      </c>
      <c r="D167" s="2">
        <v>2.08</v>
      </c>
      <c r="E167" s="225" t="s">
        <v>419</v>
      </c>
      <c r="F167" s="5" t="s">
        <v>581</v>
      </c>
    </row>
    <row r="168" spans="1:7" x14ac:dyDescent="0.25">
      <c r="A168" s="632" t="s">
        <v>1205</v>
      </c>
      <c r="B168" s="25" t="s">
        <v>1150</v>
      </c>
      <c r="C168" s="2">
        <v>19201900772</v>
      </c>
      <c r="D168" s="2">
        <v>2.0299999999999998</v>
      </c>
      <c r="E168" s="225" t="s">
        <v>419</v>
      </c>
      <c r="F168" s="5" t="s">
        <v>582</v>
      </c>
    </row>
    <row r="169" spans="1:7" x14ac:dyDescent="0.25">
      <c r="A169" s="632" t="s">
        <v>1205</v>
      </c>
      <c r="B169" s="25" t="s">
        <v>1150</v>
      </c>
      <c r="C169" s="2">
        <v>19201900787</v>
      </c>
      <c r="D169" s="2">
        <v>1.95</v>
      </c>
      <c r="E169" s="226" t="s">
        <v>420</v>
      </c>
      <c r="F169" s="5" t="s">
        <v>583</v>
      </c>
    </row>
    <row r="170" spans="1:7" x14ac:dyDescent="0.25">
      <c r="A170" s="632" t="s">
        <v>1205</v>
      </c>
      <c r="B170" s="25" t="s">
        <v>1150</v>
      </c>
      <c r="C170" s="2">
        <v>19201900765</v>
      </c>
      <c r="D170" s="2">
        <v>1.9</v>
      </c>
      <c r="E170" s="226" t="s">
        <v>420</v>
      </c>
      <c r="F170" s="5" t="s">
        <v>584</v>
      </c>
    </row>
    <row r="171" spans="1:7" x14ac:dyDescent="0.25">
      <c r="A171" s="632" t="s">
        <v>1205</v>
      </c>
      <c r="B171" s="25" t="s">
        <v>1150</v>
      </c>
      <c r="C171" s="2">
        <v>19201900774</v>
      </c>
      <c r="D171" s="2">
        <v>1.75</v>
      </c>
      <c r="E171" s="226" t="s">
        <v>420</v>
      </c>
      <c r="F171" s="5" t="s">
        <v>585</v>
      </c>
    </row>
    <row r="172" spans="1:7" x14ac:dyDescent="0.25">
      <c r="A172" s="632" t="s">
        <v>1205</v>
      </c>
      <c r="B172" s="25" t="s">
        <v>1150</v>
      </c>
      <c r="C172" s="2">
        <v>19201900784</v>
      </c>
      <c r="D172" s="2">
        <v>1.33</v>
      </c>
      <c r="E172" s="226" t="s">
        <v>420</v>
      </c>
      <c r="F172" s="5" t="s">
        <v>586</v>
      </c>
    </row>
    <row r="173" spans="1:7" x14ac:dyDescent="0.25">
      <c r="A173" s="632" t="s">
        <v>1205</v>
      </c>
      <c r="B173" s="201" t="s">
        <v>555</v>
      </c>
      <c r="C173" s="2">
        <v>19201900791</v>
      </c>
      <c r="D173" s="2">
        <v>3.5</v>
      </c>
      <c r="E173" s="225" t="s">
        <v>419</v>
      </c>
      <c r="F173" s="5" t="s">
        <v>578</v>
      </c>
    </row>
    <row r="174" spans="1:7" x14ac:dyDescent="0.25">
      <c r="A174" s="632" t="s">
        <v>1205</v>
      </c>
      <c r="B174" s="201" t="s">
        <v>555</v>
      </c>
      <c r="C174" s="2">
        <v>19201900779</v>
      </c>
      <c r="D174" s="2">
        <v>3.45</v>
      </c>
      <c r="E174" s="225" t="s">
        <v>419</v>
      </c>
      <c r="F174" s="5" t="s">
        <v>579</v>
      </c>
    </row>
    <row r="175" spans="1:7" x14ac:dyDescent="0.25">
      <c r="A175" s="632" t="s">
        <v>1205</v>
      </c>
      <c r="B175" s="201" t="s">
        <v>555</v>
      </c>
      <c r="C175" s="2">
        <v>19201900789</v>
      </c>
      <c r="D175" s="2">
        <v>3.32</v>
      </c>
      <c r="E175" s="225" t="s">
        <v>419</v>
      </c>
      <c r="F175" s="5" t="s">
        <v>580</v>
      </c>
    </row>
    <row r="176" spans="1:7" x14ac:dyDescent="0.25">
      <c r="A176" s="2" t="s">
        <v>1229</v>
      </c>
      <c r="B176" s="2" t="s">
        <v>1230</v>
      </c>
      <c r="C176" s="2">
        <v>19202000241</v>
      </c>
      <c r="D176" s="2">
        <v>3.11</v>
      </c>
      <c r="E176" s="225" t="s">
        <v>419</v>
      </c>
      <c r="F176" s="5" t="s">
        <v>578</v>
      </c>
      <c r="G176" s="647"/>
    </row>
    <row r="177" spans="1:7" x14ac:dyDescent="0.25">
      <c r="A177" s="2" t="s">
        <v>1229</v>
      </c>
      <c r="B177" s="2" t="s">
        <v>1230</v>
      </c>
      <c r="C177" s="2">
        <v>19202000212</v>
      </c>
      <c r="D177" s="2">
        <v>3.06</v>
      </c>
      <c r="E177" s="225" t="s">
        <v>419</v>
      </c>
      <c r="F177" s="5" t="s">
        <v>579</v>
      </c>
      <c r="G177" s="647"/>
    </row>
    <row r="178" spans="1:7" x14ac:dyDescent="0.25">
      <c r="A178" s="2" t="s">
        <v>1229</v>
      </c>
      <c r="B178" s="2" t="s">
        <v>1230</v>
      </c>
      <c r="C178" s="2">
        <v>19202000237</v>
      </c>
      <c r="D178" s="2">
        <v>2.99</v>
      </c>
      <c r="E178" s="225" t="s">
        <v>419</v>
      </c>
      <c r="F178" s="5" t="s">
        <v>580</v>
      </c>
      <c r="G178" s="647"/>
    </row>
    <row r="179" spans="1:7" x14ac:dyDescent="0.25">
      <c r="A179" s="2" t="s">
        <v>1229</v>
      </c>
      <c r="B179" s="2" t="s">
        <v>1230</v>
      </c>
      <c r="C179" s="2">
        <v>19202000239</v>
      </c>
      <c r="D179" s="2">
        <v>2.94</v>
      </c>
      <c r="E179" s="225" t="s">
        <v>419</v>
      </c>
      <c r="F179" s="5" t="s">
        <v>581</v>
      </c>
      <c r="G179" s="647"/>
    </row>
    <row r="180" spans="1:7" x14ac:dyDescent="0.25">
      <c r="A180" s="2" t="s">
        <v>1229</v>
      </c>
      <c r="B180" s="2" t="s">
        <v>1230</v>
      </c>
      <c r="C180" s="2">
        <v>19202000215</v>
      </c>
      <c r="D180" s="2">
        <v>2.93</v>
      </c>
      <c r="E180" s="225" t="s">
        <v>419</v>
      </c>
      <c r="F180" s="5" t="s">
        <v>582</v>
      </c>
      <c r="G180" s="647"/>
    </row>
    <row r="181" spans="1:7" x14ac:dyDescent="0.25">
      <c r="A181" s="2" t="s">
        <v>1229</v>
      </c>
      <c r="B181" s="2" t="s">
        <v>1230</v>
      </c>
      <c r="C181" s="2">
        <v>19202000248</v>
      </c>
      <c r="D181" s="2">
        <v>2.89</v>
      </c>
      <c r="E181" s="225" t="s">
        <v>419</v>
      </c>
      <c r="F181" s="5" t="s">
        <v>583</v>
      </c>
      <c r="G181" s="647"/>
    </row>
    <row r="182" spans="1:7" x14ac:dyDescent="0.25">
      <c r="A182" s="2" t="s">
        <v>1229</v>
      </c>
      <c r="B182" s="2" t="s">
        <v>1230</v>
      </c>
      <c r="C182" s="2">
        <v>19202000246</v>
      </c>
      <c r="D182" s="2">
        <v>2.84</v>
      </c>
      <c r="E182" s="225" t="s">
        <v>419</v>
      </c>
      <c r="F182" s="5" t="s">
        <v>584</v>
      </c>
      <c r="G182" s="647"/>
    </row>
    <row r="183" spans="1:7" x14ac:dyDescent="0.25">
      <c r="A183" s="2" t="s">
        <v>1229</v>
      </c>
      <c r="B183" s="2" t="s">
        <v>1230</v>
      </c>
      <c r="C183" s="2">
        <v>19202000240</v>
      </c>
      <c r="D183" s="2">
        <v>2.64</v>
      </c>
      <c r="E183" s="225" t="s">
        <v>419</v>
      </c>
      <c r="F183" s="5" t="s">
        <v>585</v>
      </c>
      <c r="G183" s="647"/>
    </row>
    <row r="184" spans="1:7" x14ac:dyDescent="0.25">
      <c r="A184" s="2" t="s">
        <v>1229</v>
      </c>
      <c r="B184" s="2" t="s">
        <v>1230</v>
      </c>
      <c r="C184" s="2">
        <v>19202000220</v>
      </c>
      <c r="D184" s="2">
        <v>2.5499999999999998</v>
      </c>
      <c r="E184" s="225" t="s">
        <v>419</v>
      </c>
      <c r="F184" s="5" t="s">
        <v>586</v>
      </c>
      <c r="G184" s="647"/>
    </row>
    <row r="185" spans="1:7" x14ac:dyDescent="0.25">
      <c r="A185" s="2" t="s">
        <v>1229</v>
      </c>
      <c r="B185" s="2" t="s">
        <v>1230</v>
      </c>
      <c r="C185" s="2">
        <v>19202000247</v>
      </c>
      <c r="D185" s="2">
        <v>2.38</v>
      </c>
      <c r="E185" s="225" t="s">
        <v>419</v>
      </c>
      <c r="F185" s="371" t="s">
        <v>587</v>
      </c>
      <c r="G185" s="647"/>
    </row>
    <row r="186" spans="1:7" x14ac:dyDescent="0.25">
      <c r="A186" s="2" t="s">
        <v>1229</v>
      </c>
      <c r="B186" s="2" t="s">
        <v>1230</v>
      </c>
      <c r="C186" s="2">
        <v>19202000243</v>
      </c>
      <c r="D186" s="2">
        <v>2.31</v>
      </c>
      <c r="E186" s="225" t="s">
        <v>419</v>
      </c>
      <c r="F186" s="371" t="s">
        <v>588</v>
      </c>
      <c r="G186" s="647"/>
    </row>
    <row r="187" spans="1:7" x14ac:dyDescent="0.25">
      <c r="A187" s="2" t="s">
        <v>1229</v>
      </c>
      <c r="B187" s="2" t="s">
        <v>1230</v>
      </c>
      <c r="C187" s="2">
        <v>19202000238</v>
      </c>
      <c r="D187" s="2">
        <v>2.29</v>
      </c>
      <c r="E187" s="225" t="s">
        <v>419</v>
      </c>
      <c r="F187" s="371" t="s">
        <v>589</v>
      </c>
      <c r="G187" s="647"/>
    </row>
    <row r="188" spans="1:7" x14ac:dyDescent="0.25">
      <c r="A188" s="2" t="s">
        <v>1229</v>
      </c>
      <c r="B188" s="2" t="s">
        <v>1230</v>
      </c>
      <c r="C188" s="2">
        <v>19202000242</v>
      </c>
      <c r="D188" s="2">
        <v>2.2799999999999998</v>
      </c>
      <c r="E188" s="226" t="s">
        <v>420</v>
      </c>
      <c r="F188" s="371" t="s">
        <v>590</v>
      </c>
      <c r="G188" s="647"/>
    </row>
    <row r="189" spans="1:7" x14ac:dyDescent="0.25">
      <c r="A189" s="2" t="s">
        <v>1229</v>
      </c>
      <c r="B189" s="2" t="s">
        <v>1230</v>
      </c>
      <c r="C189" s="2">
        <v>19202000244</v>
      </c>
      <c r="D189" s="2">
        <v>2.2599999999999998</v>
      </c>
      <c r="E189" s="226" t="s">
        <v>420</v>
      </c>
      <c r="F189" s="371" t="s">
        <v>591</v>
      </c>
      <c r="G189" s="647"/>
    </row>
    <row r="190" spans="1:7" x14ac:dyDescent="0.25">
      <c r="A190" s="2" t="s">
        <v>1229</v>
      </c>
      <c r="B190" s="2" t="s">
        <v>1230</v>
      </c>
      <c r="C190" s="2">
        <v>19202000245</v>
      </c>
      <c r="D190" s="2">
        <v>2.2400000000000002</v>
      </c>
      <c r="E190" s="226" t="s">
        <v>420</v>
      </c>
      <c r="F190" s="371" t="s">
        <v>592</v>
      </c>
      <c r="G190" s="647"/>
    </row>
    <row r="191" spans="1:7" x14ac:dyDescent="0.25">
      <c r="A191" s="2" t="s">
        <v>1229</v>
      </c>
      <c r="B191" s="2" t="s">
        <v>1230</v>
      </c>
      <c r="C191" s="2">
        <v>19202000194</v>
      </c>
      <c r="D191" s="2">
        <v>1.73</v>
      </c>
      <c r="E191" s="226" t="s">
        <v>420</v>
      </c>
      <c r="F191" s="371" t="s">
        <v>593</v>
      </c>
      <c r="G191" s="647"/>
    </row>
    <row r="192" spans="1:7" x14ac:dyDescent="0.25">
      <c r="A192" s="2" t="s">
        <v>1229</v>
      </c>
      <c r="B192" s="2" t="s">
        <v>1230</v>
      </c>
      <c r="C192" s="2">
        <v>19202000249</v>
      </c>
      <c r="D192" s="2">
        <v>1.72</v>
      </c>
      <c r="E192" s="226" t="s">
        <v>420</v>
      </c>
      <c r="F192" s="371" t="s">
        <v>594</v>
      </c>
      <c r="G192" s="647"/>
    </row>
    <row r="193" spans="1:7" x14ac:dyDescent="0.25">
      <c r="A193" s="787" t="s">
        <v>1259</v>
      </c>
      <c r="B193" s="178" t="s">
        <v>1150</v>
      </c>
      <c r="C193" s="647">
        <v>19202000667</v>
      </c>
      <c r="D193" s="647">
        <v>3.02</v>
      </c>
      <c r="E193" s="366" t="s">
        <v>419</v>
      </c>
      <c r="F193" s="5"/>
    </row>
    <row r="194" spans="1:7" x14ac:dyDescent="0.25">
      <c r="A194" s="788" t="s">
        <v>1259</v>
      </c>
      <c r="B194" s="25" t="s">
        <v>1150</v>
      </c>
      <c r="C194" s="2">
        <v>19202000666</v>
      </c>
      <c r="D194" s="2">
        <v>2.91</v>
      </c>
      <c r="E194" s="225" t="s">
        <v>419</v>
      </c>
      <c r="F194" s="5"/>
    </row>
    <row r="195" spans="1:7" x14ac:dyDescent="0.25">
      <c r="A195" s="788" t="s">
        <v>1259</v>
      </c>
      <c r="B195" s="25" t="s">
        <v>1150</v>
      </c>
      <c r="C195" s="2">
        <v>19202000663</v>
      </c>
      <c r="D195" s="2">
        <v>2.4700000000000002</v>
      </c>
      <c r="E195" s="225" t="s">
        <v>419</v>
      </c>
      <c r="F195" s="5"/>
    </row>
    <row r="196" spans="1:7" x14ac:dyDescent="0.25">
      <c r="A196" s="788" t="s">
        <v>1259</v>
      </c>
      <c r="B196" s="25" t="s">
        <v>1150</v>
      </c>
      <c r="C196" s="2">
        <v>19202000677</v>
      </c>
      <c r="D196" s="2">
        <v>2.46</v>
      </c>
      <c r="E196" s="225" t="s">
        <v>419</v>
      </c>
      <c r="F196" s="5"/>
    </row>
    <row r="197" spans="1:7" x14ac:dyDescent="0.25">
      <c r="A197" s="788" t="s">
        <v>1259</v>
      </c>
      <c r="B197" s="25" t="s">
        <v>1150</v>
      </c>
      <c r="C197" s="2">
        <v>19202000654</v>
      </c>
      <c r="D197" s="2">
        <v>2.35</v>
      </c>
      <c r="E197" s="225" t="s">
        <v>419</v>
      </c>
      <c r="F197" s="5"/>
    </row>
    <row r="198" spans="1:7" x14ac:dyDescent="0.25">
      <c r="A198" s="788" t="s">
        <v>1259</v>
      </c>
      <c r="B198" s="25" t="s">
        <v>1150</v>
      </c>
      <c r="C198" s="2">
        <v>19202000665</v>
      </c>
      <c r="D198" s="2">
        <v>2.2999999999999998</v>
      </c>
      <c r="E198" s="225" t="s">
        <v>419</v>
      </c>
      <c r="F198" s="5"/>
    </row>
    <row r="199" spans="1:7" x14ac:dyDescent="0.25">
      <c r="A199" s="788" t="s">
        <v>1259</v>
      </c>
      <c r="B199" s="25" t="s">
        <v>1150</v>
      </c>
      <c r="C199" s="2">
        <v>19202000670</v>
      </c>
      <c r="D199" s="2">
        <v>2.2400000000000002</v>
      </c>
      <c r="E199" s="225" t="s">
        <v>419</v>
      </c>
      <c r="F199" s="5"/>
    </row>
    <row r="200" spans="1:7" x14ac:dyDescent="0.25">
      <c r="A200" s="788" t="s">
        <v>1259</v>
      </c>
      <c r="B200" s="25" t="s">
        <v>1150</v>
      </c>
      <c r="C200" s="2">
        <v>19202000675</v>
      </c>
      <c r="D200" s="2">
        <v>2.17</v>
      </c>
      <c r="E200" s="225" t="s">
        <v>419</v>
      </c>
      <c r="F200" s="5"/>
    </row>
    <row r="201" spans="1:7" x14ac:dyDescent="0.25">
      <c r="A201" s="788" t="s">
        <v>1259</v>
      </c>
      <c r="B201" s="25" t="s">
        <v>1150</v>
      </c>
      <c r="C201" s="2">
        <v>19202000676</v>
      </c>
      <c r="D201" s="2">
        <v>2.2799999999999998</v>
      </c>
      <c r="E201" s="226" t="s">
        <v>420</v>
      </c>
      <c r="F201" s="5"/>
    </row>
    <row r="202" spans="1:7" x14ac:dyDescent="0.25">
      <c r="A202" s="788" t="s">
        <v>1259</v>
      </c>
      <c r="B202" s="25" t="s">
        <v>1150</v>
      </c>
      <c r="C202" s="2">
        <v>19202000664</v>
      </c>
      <c r="D202" s="2">
        <v>2.2599999999999998</v>
      </c>
      <c r="E202" s="226" t="s">
        <v>420</v>
      </c>
      <c r="F202" s="5"/>
    </row>
    <row r="203" spans="1:7" x14ac:dyDescent="0.25">
      <c r="A203" s="788" t="s">
        <v>1259</v>
      </c>
      <c r="B203" s="25" t="s">
        <v>1150</v>
      </c>
      <c r="C203" s="2">
        <v>19202000668</v>
      </c>
      <c r="D203" s="2">
        <v>2.23</v>
      </c>
      <c r="E203" s="226" t="s">
        <v>420</v>
      </c>
      <c r="F203" s="5"/>
    </row>
    <row r="204" spans="1:7" x14ac:dyDescent="0.25">
      <c r="A204" s="788" t="s">
        <v>1259</v>
      </c>
      <c r="B204" s="25" t="s">
        <v>1150</v>
      </c>
      <c r="C204" s="2">
        <v>19202000669</v>
      </c>
      <c r="D204" s="2">
        <v>2.04</v>
      </c>
      <c r="E204" s="226" t="s">
        <v>420</v>
      </c>
      <c r="F204" s="5"/>
    </row>
    <row r="205" spans="1:7" x14ac:dyDescent="0.25">
      <c r="A205" s="788" t="s">
        <v>1259</v>
      </c>
      <c r="B205" s="25" t="s">
        <v>1150</v>
      </c>
      <c r="C205" s="2">
        <v>19202000672</v>
      </c>
      <c r="D205" s="2">
        <v>1.85</v>
      </c>
      <c r="E205" s="226" t="s">
        <v>420</v>
      </c>
      <c r="F205" s="5"/>
    </row>
    <row r="206" spans="1:7" x14ac:dyDescent="0.25">
      <c r="A206" s="788" t="s">
        <v>1259</v>
      </c>
      <c r="B206" s="25" t="s">
        <v>1150</v>
      </c>
      <c r="C206" s="2">
        <v>19202000671</v>
      </c>
      <c r="D206" s="2">
        <v>1.74</v>
      </c>
      <c r="E206" s="226" t="s">
        <v>420</v>
      </c>
      <c r="F206" s="5"/>
    </row>
    <row r="207" spans="1:7" x14ac:dyDescent="0.25">
      <c r="A207" s="788" t="s">
        <v>1259</v>
      </c>
      <c r="B207" s="25" t="s">
        <v>1150</v>
      </c>
      <c r="C207" s="2">
        <v>19202000674</v>
      </c>
      <c r="D207" s="2">
        <v>1.5</v>
      </c>
      <c r="E207" s="226" t="s">
        <v>420</v>
      </c>
      <c r="F207" s="5"/>
    </row>
    <row r="208" spans="1:7" x14ac:dyDescent="0.25">
      <c r="A208" s="2" t="s">
        <v>1267</v>
      </c>
      <c r="B208" s="201" t="s">
        <v>1230</v>
      </c>
      <c r="C208" s="2">
        <v>19202000833</v>
      </c>
      <c r="D208" s="2">
        <v>3.18</v>
      </c>
      <c r="E208" s="225" t="s">
        <v>419</v>
      </c>
      <c r="F208" s="2"/>
      <c r="G208" s="647"/>
    </row>
    <row r="209" spans="1:7" x14ac:dyDescent="0.25">
      <c r="A209" s="2" t="s">
        <v>1267</v>
      </c>
      <c r="B209" s="201" t="s">
        <v>1230</v>
      </c>
      <c r="C209" s="2">
        <v>19202000846</v>
      </c>
      <c r="D209" s="2">
        <v>3.16</v>
      </c>
      <c r="E209" s="225" t="s">
        <v>419</v>
      </c>
      <c r="F209" s="2"/>
      <c r="G209" s="647"/>
    </row>
    <row r="210" spans="1:7" x14ac:dyDescent="0.25">
      <c r="A210" s="2" t="s">
        <v>1267</v>
      </c>
      <c r="B210" s="201" t="s">
        <v>1230</v>
      </c>
      <c r="C210" s="2">
        <v>19202000850</v>
      </c>
      <c r="D210" s="2">
        <v>3.09</v>
      </c>
      <c r="E210" s="225" t="s">
        <v>419</v>
      </c>
      <c r="F210" s="2"/>
      <c r="G210" s="647"/>
    </row>
    <row r="211" spans="1:7" x14ac:dyDescent="0.25">
      <c r="A211" s="2" t="s">
        <v>1267</v>
      </c>
      <c r="B211" s="201" t="s">
        <v>1230</v>
      </c>
      <c r="C211" s="2">
        <v>19202000847</v>
      </c>
      <c r="D211" s="2">
        <v>3.05</v>
      </c>
      <c r="E211" s="225" t="s">
        <v>419</v>
      </c>
      <c r="F211" s="2"/>
      <c r="G211" s="647"/>
    </row>
    <row r="212" spans="1:7" x14ac:dyDescent="0.25">
      <c r="A212" s="2" t="s">
        <v>1267</v>
      </c>
      <c r="B212" s="201" t="s">
        <v>1230</v>
      </c>
      <c r="C212" s="2">
        <v>19202000842</v>
      </c>
      <c r="D212" s="2">
        <v>2.89</v>
      </c>
      <c r="E212" s="225" t="s">
        <v>419</v>
      </c>
      <c r="F212" s="2"/>
      <c r="G212" s="647"/>
    </row>
    <row r="213" spans="1:7" x14ac:dyDescent="0.25">
      <c r="A213" s="2" t="s">
        <v>1267</v>
      </c>
      <c r="B213" s="201" t="s">
        <v>1230</v>
      </c>
      <c r="C213" s="2">
        <v>19202000812</v>
      </c>
      <c r="D213" s="2">
        <v>2.85</v>
      </c>
      <c r="E213" s="225" t="s">
        <v>419</v>
      </c>
      <c r="F213" s="2"/>
      <c r="G213" s="647"/>
    </row>
    <row r="214" spans="1:7" x14ac:dyDescent="0.25">
      <c r="A214" s="2" t="s">
        <v>1267</v>
      </c>
      <c r="B214" s="201" t="s">
        <v>1230</v>
      </c>
      <c r="C214" s="2">
        <v>19202000835</v>
      </c>
      <c r="D214" s="2">
        <v>2.84</v>
      </c>
      <c r="E214" s="225" t="s">
        <v>419</v>
      </c>
      <c r="F214" s="2"/>
      <c r="G214" s="647"/>
    </row>
    <row r="215" spans="1:7" x14ac:dyDescent="0.25">
      <c r="A215" s="2" t="s">
        <v>1267</v>
      </c>
      <c r="B215" s="201" t="s">
        <v>1230</v>
      </c>
      <c r="C215" s="2">
        <v>19202000845</v>
      </c>
      <c r="D215" s="2">
        <v>2.75</v>
      </c>
      <c r="E215" s="225" t="s">
        <v>419</v>
      </c>
      <c r="F215" s="2"/>
      <c r="G215" s="647"/>
    </row>
    <row r="216" spans="1:7" x14ac:dyDescent="0.25">
      <c r="A216" s="2" t="s">
        <v>1267</v>
      </c>
      <c r="B216" s="201" t="s">
        <v>1230</v>
      </c>
      <c r="C216" s="2">
        <v>19202000852</v>
      </c>
      <c r="D216" s="2">
        <v>2.66</v>
      </c>
      <c r="E216" s="225" t="s">
        <v>419</v>
      </c>
      <c r="F216" s="2"/>
      <c r="G216" s="647"/>
    </row>
    <row r="217" spans="1:7" x14ac:dyDescent="0.25">
      <c r="A217" s="2" t="s">
        <v>1267</v>
      </c>
      <c r="B217" s="201" t="s">
        <v>1230</v>
      </c>
      <c r="C217" s="2">
        <v>19202000841</v>
      </c>
      <c r="D217" s="2">
        <v>2.6</v>
      </c>
      <c r="E217" s="225" t="s">
        <v>419</v>
      </c>
      <c r="F217" s="2"/>
      <c r="G217" s="647"/>
    </row>
    <row r="218" spans="1:7" x14ac:dyDescent="0.25">
      <c r="A218" s="2" t="s">
        <v>1267</v>
      </c>
      <c r="B218" s="201" t="s">
        <v>1230</v>
      </c>
      <c r="C218" s="2">
        <v>19202000853</v>
      </c>
      <c r="D218" s="2">
        <v>2.4300000000000002</v>
      </c>
      <c r="E218" s="225" t="s">
        <v>419</v>
      </c>
      <c r="F218" s="2"/>
      <c r="G218" s="647"/>
    </row>
    <row r="219" spans="1:7" x14ac:dyDescent="0.25">
      <c r="A219" s="2" t="s">
        <v>1267</v>
      </c>
      <c r="B219" s="201" t="s">
        <v>1230</v>
      </c>
      <c r="C219" s="2">
        <v>19202000849</v>
      </c>
      <c r="D219" s="2">
        <v>2.42</v>
      </c>
      <c r="E219" s="225" t="s">
        <v>419</v>
      </c>
      <c r="F219" s="2"/>
      <c r="G219" s="647"/>
    </row>
    <row r="220" spans="1:7" x14ac:dyDescent="0.25">
      <c r="A220" s="2" t="s">
        <v>1267</v>
      </c>
      <c r="B220" s="201" t="s">
        <v>1230</v>
      </c>
      <c r="C220" s="2">
        <v>19202000839</v>
      </c>
      <c r="D220" s="2">
        <v>2.36</v>
      </c>
      <c r="E220" s="225" t="s">
        <v>419</v>
      </c>
      <c r="F220" s="2"/>
      <c r="G220" s="647"/>
    </row>
    <row r="221" spans="1:7" x14ac:dyDescent="0.25">
      <c r="A221" s="2" t="s">
        <v>1267</v>
      </c>
      <c r="B221" s="201" t="s">
        <v>1230</v>
      </c>
      <c r="C221" s="2">
        <v>19202000856</v>
      </c>
      <c r="D221" s="2">
        <v>2.27</v>
      </c>
      <c r="E221" s="225" t="s">
        <v>419</v>
      </c>
      <c r="F221" s="2"/>
      <c r="G221" s="647"/>
    </row>
    <row r="222" spans="1:7" x14ac:dyDescent="0.25">
      <c r="A222" s="2" t="s">
        <v>1267</v>
      </c>
      <c r="B222" s="201" t="s">
        <v>1230</v>
      </c>
      <c r="C222" s="2">
        <v>19202000782</v>
      </c>
      <c r="D222" s="2">
        <v>2.21</v>
      </c>
      <c r="E222" s="225" t="s">
        <v>419</v>
      </c>
      <c r="F222" s="2"/>
      <c r="G222" s="647"/>
    </row>
    <row r="223" spans="1:7" x14ac:dyDescent="0.25">
      <c r="A223" s="2" t="s">
        <v>1267</v>
      </c>
      <c r="B223" s="201" t="s">
        <v>1230</v>
      </c>
      <c r="C223" s="2">
        <v>19202000857</v>
      </c>
      <c r="D223" s="2">
        <v>2.15</v>
      </c>
      <c r="E223" s="226" t="s">
        <v>420</v>
      </c>
      <c r="F223" s="2"/>
      <c r="G223" s="647"/>
    </row>
    <row r="224" spans="1:7" x14ac:dyDescent="0.25">
      <c r="A224" s="2" t="s">
        <v>1267</v>
      </c>
      <c r="B224" s="201" t="s">
        <v>1230</v>
      </c>
      <c r="C224" s="2">
        <v>19202000858</v>
      </c>
      <c r="D224" s="2">
        <v>1.8</v>
      </c>
      <c r="E224" s="226" t="s">
        <v>420</v>
      </c>
      <c r="F224" s="2"/>
      <c r="G224" s="647"/>
    </row>
    <row r="225" spans="1:7" x14ac:dyDescent="0.25">
      <c r="A225" s="2" t="s">
        <v>1267</v>
      </c>
      <c r="B225" s="201" t="s">
        <v>1230</v>
      </c>
      <c r="C225" s="2">
        <v>19202000854</v>
      </c>
      <c r="D225" s="2">
        <v>1.64</v>
      </c>
      <c r="E225" s="226" t="s">
        <v>420</v>
      </c>
      <c r="F225" s="2"/>
      <c r="G225" s="647"/>
    </row>
    <row r="226" spans="1:7" x14ac:dyDescent="0.25">
      <c r="A226" s="2" t="s">
        <v>1267</v>
      </c>
      <c r="B226" s="201" t="s">
        <v>1230</v>
      </c>
      <c r="C226" s="2">
        <v>19202000843</v>
      </c>
      <c r="D226" s="2">
        <v>1.35</v>
      </c>
      <c r="E226" s="226" t="s">
        <v>420</v>
      </c>
      <c r="F226" s="2"/>
      <c r="G226" s="647"/>
    </row>
    <row r="227" spans="1:7" x14ac:dyDescent="0.25">
      <c r="A227" s="2" t="s">
        <v>1267</v>
      </c>
      <c r="B227" s="201" t="s">
        <v>1230</v>
      </c>
      <c r="C227" s="2">
        <v>19202000840</v>
      </c>
      <c r="D227" s="2">
        <v>1.28</v>
      </c>
      <c r="E227" s="226" t="s">
        <v>420</v>
      </c>
      <c r="F227" s="2"/>
      <c r="G227" s="647"/>
    </row>
    <row r="228" spans="1:7" x14ac:dyDescent="0.25">
      <c r="A228" s="2" t="s">
        <v>1276</v>
      </c>
      <c r="B228" s="2" t="s">
        <v>1277</v>
      </c>
      <c r="C228" s="2">
        <v>19202100082</v>
      </c>
      <c r="D228" s="2">
        <v>3.18</v>
      </c>
      <c r="E228" s="225" t="s">
        <v>419</v>
      </c>
      <c r="F228" s="2"/>
      <c r="G228" s="647" t="s">
        <v>1074</v>
      </c>
    </row>
    <row r="229" spans="1:7" x14ac:dyDescent="0.25">
      <c r="A229" s="2" t="s">
        <v>1276</v>
      </c>
      <c r="B229" s="2" t="s">
        <v>1277</v>
      </c>
      <c r="C229" s="2">
        <v>19202100073</v>
      </c>
      <c r="D229" s="2">
        <v>2.77</v>
      </c>
      <c r="E229" s="225" t="s">
        <v>419</v>
      </c>
      <c r="F229" s="2"/>
      <c r="G229" s="647" t="s">
        <v>1074</v>
      </c>
    </row>
    <row r="230" spans="1:7" x14ac:dyDescent="0.25">
      <c r="A230" s="2" t="s">
        <v>1276</v>
      </c>
      <c r="B230" s="2" t="s">
        <v>1277</v>
      </c>
      <c r="C230" s="2">
        <v>19202100087</v>
      </c>
      <c r="D230" s="2">
        <v>2.76</v>
      </c>
      <c r="E230" s="225" t="s">
        <v>419</v>
      </c>
      <c r="F230" s="2"/>
      <c r="G230" s="647" t="s">
        <v>1074</v>
      </c>
    </row>
    <row r="231" spans="1:7" x14ac:dyDescent="0.25">
      <c r="A231" s="2" t="s">
        <v>1276</v>
      </c>
      <c r="B231" s="2" t="s">
        <v>1277</v>
      </c>
      <c r="C231" s="2">
        <v>19202100029</v>
      </c>
      <c r="D231" s="2">
        <v>2.69</v>
      </c>
      <c r="E231" s="225" t="s">
        <v>419</v>
      </c>
      <c r="F231" s="2"/>
      <c r="G231" s="647" t="s">
        <v>1074</v>
      </c>
    </row>
    <row r="232" spans="1:7" x14ac:dyDescent="0.25">
      <c r="A232" s="2" t="s">
        <v>1276</v>
      </c>
      <c r="B232" s="2" t="s">
        <v>1277</v>
      </c>
      <c r="C232" s="2">
        <v>19202100080</v>
      </c>
      <c r="D232" s="2">
        <v>2.6</v>
      </c>
      <c r="E232" s="225" t="s">
        <v>419</v>
      </c>
      <c r="F232" s="2"/>
      <c r="G232" s="647" t="s">
        <v>1074</v>
      </c>
    </row>
    <row r="233" spans="1:7" x14ac:dyDescent="0.25">
      <c r="A233" s="2" t="s">
        <v>1276</v>
      </c>
      <c r="B233" s="2" t="s">
        <v>1277</v>
      </c>
      <c r="C233" s="2">
        <v>19202100043</v>
      </c>
      <c r="D233" s="2">
        <v>2.5</v>
      </c>
      <c r="E233" s="225" t="s">
        <v>419</v>
      </c>
      <c r="F233" s="2"/>
      <c r="G233" s="647" t="s">
        <v>1074</v>
      </c>
    </row>
    <row r="234" spans="1:7" x14ac:dyDescent="0.25">
      <c r="A234" s="2" t="s">
        <v>1276</v>
      </c>
      <c r="B234" s="2" t="s">
        <v>1277</v>
      </c>
      <c r="C234" s="2">
        <v>19202100042</v>
      </c>
      <c r="D234" s="2">
        <v>2.41</v>
      </c>
      <c r="E234" s="225" t="s">
        <v>419</v>
      </c>
      <c r="F234" s="2"/>
      <c r="G234" s="647" t="s">
        <v>1074</v>
      </c>
    </row>
    <row r="235" spans="1:7" x14ac:dyDescent="0.25">
      <c r="A235" s="2" t="s">
        <v>1276</v>
      </c>
      <c r="B235" s="2" t="s">
        <v>1277</v>
      </c>
      <c r="C235" s="2">
        <v>19202100088</v>
      </c>
      <c r="D235" s="2">
        <v>2.4</v>
      </c>
      <c r="E235" s="225" t="s">
        <v>419</v>
      </c>
      <c r="F235" s="2"/>
      <c r="G235" s="647" t="s">
        <v>1074</v>
      </c>
    </row>
    <row r="236" spans="1:7" x14ac:dyDescent="0.25">
      <c r="A236" s="2" t="s">
        <v>1276</v>
      </c>
      <c r="B236" s="2" t="s">
        <v>1277</v>
      </c>
      <c r="C236" s="2">
        <v>19202100089</v>
      </c>
      <c r="D236" s="2">
        <v>2.34</v>
      </c>
      <c r="E236" s="225" t="s">
        <v>419</v>
      </c>
      <c r="F236" s="2"/>
      <c r="G236" s="647" t="s">
        <v>1074</v>
      </c>
    </row>
    <row r="237" spans="1:7" x14ac:dyDescent="0.25">
      <c r="A237" s="2" t="s">
        <v>1276</v>
      </c>
      <c r="B237" s="2" t="s">
        <v>1277</v>
      </c>
      <c r="C237" s="2">
        <v>19202100086</v>
      </c>
      <c r="D237" s="2">
        <v>2.17</v>
      </c>
      <c r="E237" s="225" t="s">
        <v>419</v>
      </c>
      <c r="F237" s="2"/>
      <c r="G237" s="647" t="s">
        <v>1074</v>
      </c>
    </row>
    <row r="238" spans="1:7" x14ac:dyDescent="0.25">
      <c r="A238" s="2" t="s">
        <v>1276</v>
      </c>
      <c r="B238" s="2" t="s">
        <v>1277</v>
      </c>
      <c r="C238" s="2">
        <v>19202100076</v>
      </c>
      <c r="D238" s="2">
        <v>2.0099999999999998</v>
      </c>
      <c r="E238" s="225" t="s">
        <v>419</v>
      </c>
      <c r="F238" s="2"/>
      <c r="G238" s="647" t="s">
        <v>1074</v>
      </c>
    </row>
    <row r="239" spans="1:7" x14ac:dyDescent="0.25">
      <c r="A239" s="2" t="s">
        <v>1276</v>
      </c>
      <c r="B239" s="2" t="s">
        <v>1277</v>
      </c>
      <c r="C239" s="2">
        <v>19202100075</v>
      </c>
      <c r="D239" s="2">
        <v>1.85</v>
      </c>
      <c r="E239" s="226" t="s">
        <v>420</v>
      </c>
      <c r="F239" s="2"/>
      <c r="G239" s="647" t="s">
        <v>1141</v>
      </c>
    </row>
    <row r="240" spans="1:7" x14ac:dyDescent="0.25">
      <c r="A240" s="2" t="s">
        <v>1276</v>
      </c>
      <c r="B240" s="2" t="s">
        <v>1277</v>
      </c>
      <c r="C240" s="2">
        <v>19202100084</v>
      </c>
      <c r="D240" s="2">
        <v>1.29</v>
      </c>
      <c r="E240" s="226" t="s">
        <v>420</v>
      </c>
      <c r="F240" s="2"/>
      <c r="G240" s="647" t="s">
        <v>1141</v>
      </c>
    </row>
    <row r="241" spans="1:6" x14ac:dyDescent="0.25">
      <c r="A241" s="2" t="s">
        <v>1276</v>
      </c>
      <c r="B241" s="2" t="s">
        <v>1278</v>
      </c>
      <c r="C241" s="2">
        <v>19202100028</v>
      </c>
      <c r="D241" s="2">
        <v>3.19</v>
      </c>
      <c r="E241" s="225" t="s">
        <v>419</v>
      </c>
      <c r="F241" s="5"/>
    </row>
    <row r="242" spans="1:6" x14ac:dyDescent="0.25">
      <c r="A242" s="2" t="s">
        <v>1276</v>
      </c>
      <c r="B242" s="2" t="s">
        <v>1279</v>
      </c>
      <c r="C242" s="2">
        <v>19202100072</v>
      </c>
      <c r="D242" s="2">
        <v>3.11</v>
      </c>
      <c r="E242" s="225" t="s">
        <v>419</v>
      </c>
      <c r="F242" s="5"/>
    </row>
    <row r="243" spans="1:6" x14ac:dyDescent="0.25">
      <c r="A243" s="2" t="s">
        <v>1276</v>
      </c>
      <c r="B243" s="2" t="s">
        <v>1280</v>
      </c>
      <c r="C243" s="2">
        <v>19202100038</v>
      </c>
      <c r="D243" s="2">
        <v>2.99</v>
      </c>
      <c r="E243" s="225" t="s">
        <v>419</v>
      </c>
      <c r="F243" s="5"/>
    </row>
    <row r="244" spans="1:6" x14ac:dyDescent="0.25">
      <c r="A244" s="2" t="s">
        <v>1276</v>
      </c>
      <c r="B244" s="2" t="s">
        <v>1281</v>
      </c>
      <c r="C244" s="2">
        <v>19202100077</v>
      </c>
      <c r="D244" s="2">
        <v>2.93</v>
      </c>
      <c r="E244" s="225" t="s">
        <v>419</v>
      </c>
      <c r="F244" s="5"/>
    </row>
    <row r="245" spans="1:6" x14ac:dyDescent="0.25">
      <c r="A245" s="2" t="s">
        <v>1276</v>
      </c>
      <c r="B245" s="2" t="s">
        <v>1282</v>
      </c>
      <c r="C245" s="2">
        <v>19202100083</v>
      </c>
      <c r="D245" s="2">
        <v>2.84</v>
      </c>
      <c r="E245" s="225" t="s">
        <v>419</v>
      </c>
      <c r="F245" s="5"/>
    </row>
    <row r="246" spans="1:6" x14ac:dyDescent="0.25">
      <c r="A246" s="2" t="s">
        <v>1276</v>
      </c>
      <c r="B246" s="2" t="s">
        <v>1283</v>
      </c>
      <c r="C246" s="2">
        <v>19202100085</v>
      </c>
      <c r="D246" s="2">
        <v>2.5</v>
      </c>
      <c r="E246" s="225" t="s">
        <v>419</v>
      </c>
      <c r="F246" s="5"/>
    </row>
    <row r="247" spans="1:6" x14ac:dyDescent="0.25">
      <c r="A247" s="2" t="s">
        <v>1276</v>
      </c>
      <c r="B247" s="2" t="s">
        <v>1284</v>
      </c>
      <c r="C247" s="2">
        <v>19202100078</v>
      </c>
      <c r="D247" s="2">
        <v>3.6</v>
      </c>
      <c r="E247" s="225" t="s">
        <v>419</v>
      </c>
      <c r="F247" s="5"/>
    </row>
    <row r="248" spans="1:6" x14ac:dyDescent="0.25">
      <c r="A248" s="2" t="s">
        <v>1276</v>
      </c>
      <c r="B248" s="2" t="s">
        <v>1284</v>
      </c>
      <c r="C248" s="2">
        <v>19202100079</v>
      </c>
      <c r="D248" s="2">
        <v>3.17</v>
      </c>
      <c r="E248" s="225" t="s">
        <v>419</v>
      </c>
      <c r="F248" s="5"/>
    </row>
    <row r="249" spans="1:6" x14ac:dyDescent="0.25">
      <c r="A249" s="2" t="s">
        <v>1276</v>
      </c>
      <c r="B249" s="2" t="s">
        <v>1284</v>
      </c>
      <c r="C249" s="2">
        <v>19202100081</v>
      </c>
      <c r="D249" s="2">
        <v>2.9</v>
      </c>
      <c r="E249" s="225" t="s">
        <v>419</v>
      </c>
      <c r="F249" s="5"/>
    </row>
    <row r="250" spans="1:6" x14ac:dyDescent="0.25">
      <c r="A250" s="2" t="s">
        <v>1370</v>
      </c>
      <c r="B250" s="2" t="s">
        <v>1369</v>
      </c>
      <c r="C250" s="2">
        <v>19202100835</v>
      </c>
      <c r="D250" s="2">
        <v>3.37</v>
      </c>
      <c r="E250" s="225" t="s">
        <v>419</v>
      </c>
    </row>
    <row r="251" spans="1:6" x14ac:dyDescent="0.25">
      <c r="A251" s="2" t="s">
        <v>1370</v>
      </c>
      <c r="B251" s="2" t="s">
        <v>1369</v>
      </c>
      <c r="C251" s="2">
        <v>19202100824</v>
      </c>
      <c r="D251" s="2">
        <v>3.32</v>
      </c>
      <c r="E251" s="225" t="s">
        <v>419</v>
      </c>
    </row>
    <row r="252" spans="1:6" x14ac:dyDescent="0.25">
      <c r="A252" s="2" t="s">
        <v>1370</v>
      </c>
      <c r="B252" s="2" t="s">
        <v>1369</v>
      </c>
      <c r="C252" s="2">
        <v>19202100830</v>
      </c>
      <c r="D252" s="2">
        <v>3.14</v>
      </c>
      <c r="E252" s="225" t="s">
        <v>419</v>
      </c>
    </row>
    <row r="253" spans="1:6" x14ac:dyDescent="0.25">
      <c r="A253" s="2" t="s">
        <v>1370</v>
      </c>
      <c r="B253" s="2" t="s">
        <v>1369</v>
      </c>
      <c r="C253" s="2">
        <v>19202100836</v>
      </c>
      <c r="D253" s="2">
        <v>2.96</v>
      </c>
      <c r="E253" s="225" t="s">
        <v>419</v>
      </c>
    </row>
    <row r="254" spans="1:6" x14ac:dyDescent="0.25">
      <c r="A254" s="2" t="s">
        <v>1370</v>
      </c>
      <c r="B254" s="2" t="s">
        <v>1369</v>
      </c>
      <c r="C254" s="2">
        <v>19202100832</v>
      </c>
      <c r="D254" s="2">
        <v>2.88</v>
      </c>
      <c r="E254" s="225" t="s">
        <v>419</v>
      </c>
    </row>
    <row r="255" spans="1:6" x14ac:dyDescent="0.25">
      <c r="A255" s="2" t="s">
        <v>1370</v>
      </c>
      <c r="B255" s="2" t="s">
        <v>1369</v>
      </c>
      <c r="C255" s="2">
        <v>19202100837</v>
      </c>
      <c r="D255" s="2">
        <v>2.83</v>
      </c>
      <c r="E255" s="225" t="s">
        <v>419</v>
      </c>
    </row>
    <row r="256" spans="1:6" x14ac:dyDescent="0.25">
      <c r="A256" s="2" t="s">
        <v>1370</v>
      </c>
      <c r="B256" s="2" t="s">
        <v>1369</v>
      </c>
      <c r="C256" s="2">
        <v>19202100833</v>
      </c>
      <c r="D256" s="2">
        <v>2.6</v>
      </c>
      <c r="E256" s="225" t="s">
        <v>419</v>
      </c>
    </row>
    <row r="257" spans="1:6" x14ac:dyDescent="0.25">
      <c r="A257" s="2" t="s">
        <v>1370</v>
      </c>
      <c r="B257" s="2" t="s">
        <v>1369</v>
      </c>
      <c r="C257" s="2">
        <v>19202100831</v>
      </c>
      <c r="D257" s="2">
        <v>2.4900000000000002</v>
      </c>
      <c r="E257" s="225" t="s">
        <v>419</v>
      </c>
    </row>
    <row r="258" spans="1:6" x14ac:dyDescent="0.25">
      <c r="A258" s="2" t="s">
        <v>1370</v>
      </c>
      <c r="B258" s="2" t="s">
        <v>1369</v>
      </c>
      <c r="C258" s="2">
        <v>19202100829</v>
      </c>
      <c r="D258" s="2">
        <v>2.31</v>
      </c>
      <c r="E258" s="225" t="s">
        <v>419</v>
      </c>
    </row>
    <row r="259" spans="1:6" x14ac:dyDescent="0.25">
      <c r="A259" s="2" t="s">
        <v>1370</v>
      </c>
      <c r="B259" s="2" t="s">
        <v>1369</v>
      </c>
      <c r="C259" s="2">
        <v>19202100828</v>
      </c>
      <c r="D259" s="2">
        <v>2.27</v>
      </c>
      <c r="E259" s="225" t="s">
        <v>419</v>
      </c>
    </row>
    <row r="260" spans="1:6" x14ac:dyDescent="0.25">
      <c r="A260" s="2" t="s">
        <v>1370</v>
      </c>
      <c r="B260" s="2" t="s">
        <v>1369</v>
      </c>
      <c r="C260" s="2">
        <v>19202100834</v>
      </c>
      <c r="D260" s="2">
        <v>2.2200000000000002</v>
      </c>
      <c r="E260" s="225" t="s">
        <v>419</v>
      </c>
    </row>
    <row r="261" spans="1:6" x14ac:dyDescent="0.25">
      <c r="A261" s="179" t="s">
        <v>1370</v>
      </c>
      <c r="B261" s="179" t="s">
        <v>1369</v>
      </c>
      <c r="C261" s="179">
        <v>19202100768</v>
      </c>
      <c r="D261" s="179">
        <v>2.21</v>
      </c>
      <c r="E261" s="366" t="s">
        <v>419</v>
      </c>
    </row>
    <row r="262" spans="1:6" x14ac:dyDescent="0.25">
      <c r="A262" s="2" t="s">
        <v>1386</v>
      </c>
      <c r="B262" s="2" t="s">
        <v>1387</v>
      </c>
      <c r="C262" s="2">
        <v>19202101210</v>
      </c>
      <c r="D262" s="2">
        <v>2.97</v>
      </c>
      <c r="E262" s="225" t="s">
        <v>419</v>
      </c>
      <c r="F262" s="5"/>
    </row>
    <row r="263" spans="1:6" x14ac:dyDescent="0.25">
      <c r="A263" s="2" t="s">
        <v>1386</v>
      </c>
      <c r="B263" s="2" t="s">
        <v>1387</v>
      </c>
      <c r="C263" s="2">
        <v>19202101217</v>
      </c>
      <c r="D263" s="2">
        <v>2.86</v>
      </c>
      <c r="E263" s="225" t="s">
        <v>419</v>
      </c>
      <c r="F263" s="5"/>
    </row>
    <row r="264" spans="1:6" x14ac:dyDescent="0.25">
      <c r="A264" s="2" t="s">
        <v>1386</v>
      </c>
      <c r="B264" s="2" t="s">
        <v>1387</v>
      </c>
      <c r="C264" s="2">
        <v>19202101214</v>
      </c>
      <c r="D264" s="2">
        <v>2.46</v>
      </c>
      <c r="E264" s="225" t="s">
        <v>419</v>
      </c>
      <c r="F264" s="5"/>
    </row>
    <row r="265" spans="1:6" x14ac:dyDescent="0.25">
      <c r="A265" s="2" t="s">
        <v>1386</v>
      </c>
      <c r="B265" s="2" t="s">
        <v>1387</v>
      </c>
      <c r="C265" s="2">
        <v>19202101218</v>
      </c>
      <c r="D265" s="2">
        <v>1.79</v>
      </c>
      <c r="E265" s="226" t="s">
        <v>420</v>
      </c>
      <c r="F265" s="5"/>
    </row>
    <row r="266" spans="1:6" x14ac:dyDescent="0.25">
      <c r="A266" s="2" t="s">
        <v>1386</v>
      </c>
      <c r="B266" s="2" t="s">
        <v>1395</v>
      </c>
      <c r="C266" s="2">
        <v>19202101212</v>
      </c>
      <c r="D266" s="2">
        <v>3.02</v>
      </c>
      <c r="E266" s="225" t="s">
        <v>419</v>
      </c>
      <c r="F266" s="5"/>
    </row>
    <row r="267" spans="1:6" x14ac:dyDescent="0.25">
      <c r="A267" s="2" t="s">
        <v>1386</v>
      </c>
      <c r="B267" s="2" t="s">
        <v>1395</v>
      </c>
      <c r="C267" s="2">
        <v>19202101203</v>
      </c>
      <c r="D267" s="2">
        <v>2.92</v>
      </c>
      <c r="E267" s="225" t="s">
        <v>419</v>
      </c>
      <c r="F267" s="5"/>
    </row>
    <row r="268" spans="1:6" x14ac:dyDescent="0.25">
      <c r="A268" s="2" t="s">
        <v>1386</v>
      </c>
      <c r="B268" s="2" t="s">
        <v>1395</v>
      </c>
      <c r="C268" s="2">
        <v>19202101205</v>
      </c>
      <c r="D268" s="2">
        <v>2.71</v>
      </c>
      <c r="E268" s="225" t="s">
        <v>419</v>
      </c>
      <c r="F268" s="5"/>
    </row>
    <row r="269" spans="1:6" x14ac:dyDescent="0.25">
      <c r="A269" s="2" t="s">
        <v>1386</v>
      </c>
      <c r="B269" s="2" t="s">
        <v>1395</v>
      </c>
      <c r="C269" s="2">
        <v>19202101209</v>
      </c>
      <c r="D269" s="2">
        <v>1.17</v>
      </c>
      <c r="E269" s="226" t="s">
        <v>420</v>
      </c>
      <c r="F269" s="5"/>
    </row>
    <row r="270" spans="1:6" x14ac:dyDescent="0.25">
      <c r="A270" s="843" t="s">
        <v>1515</v>
      </c>
      <c r="B270" s="843" t="s">
        <v>1387</v>
      </c>
      <c r="C270" s="843">
        <v>19202200127</v>
      </c>
      <c r="D270" s="843">
        <v>3</v>
      </c>
      <c r="E270" s="225" t="s">
        <v>419</v>
      </c>
    </row>
    <row r="271" spans="1:6" x14ac:dyDescent="0.25">
      <c r="A271" s="843" t="s">
        <v>1515</v>
      </c>
      <c r="B271" s="843" t="s">
        <v>1387</v>
      </c>
      <c r="C271" s="843">
        <v>19202200138</v>
      </c>
      <c r="D271" s="843">
        <v>2.9</v>
      </c>
      <c r="E271" s="225" t="s">
        <v>419</v>
      </c>
    </row>
    <row r="272" spans="1:6" x14ac:dyDescent="0.25">
      <c r="A272" s="843" t="s">
        <v>1515</v>
      </c>
      <c r="B272" s="843" t="s">
        <v>1387</v>
      </c>
      <c r="C272" s="843">
        <v>19202200141</v>
      </c>
      <c r="D272" s="843">
        <v>2.5249999999999999</v>
      </c>
      <c r="E272" s="225" t="s">
        <v>419</v>
      </c>
    </row>
    <row r="273" spans="1:7" x14ac:dyDescent="0.25">
      <c r="A273" s="843" t="s">
        <v>1515</v>
      </c>
      <c r="B273" s="843" t="s">
        <v>1516</v>
      </c>
      <c r="C273" s="843">
        <v>19202200126</v>
      </c>
      <c r="D273" s="843">
        <v>2.7930000000000001</v>
      </c>
      <c r="E273" s="225" t="s">
        <v>419</v>
      </c>
      <c r="F273" s="829"/>
      <c r="G273" s="829"/>
    </row>
    <row r="274" spans="1:7" x14ac:dyDescent="0.25">
      <c r="A274" s="843" t="s">
        <v>1515</v>
      </c>
      <c r="B274" s="843" t="s">
        <v>1516</v>
      </c>
      <c r="C274" s="843">
        <v>19202200135</v>
      </c>
      <c r="D274" s="843">
        <v>2.7829999999999999</v>
      </c>
      <c r="E274" s="225" t="s">
        <v>419</v>
      </c>
      <c r="F274" s="829"/>
      <c r="G274" s="829"/>
    </row>
    <row r="275" spans="1:7" x14ac:dyDescent="0.25">
      <c r="A275" s="843" t="s">
        <v>1515</v>
      </c>
      <c r="B275" s="843" t="s">
        <v>1516</v>
      </c>
      <c r="C275" s="843">
        <v>19202200133</v>
      </c>
      <c r="D275" s="843">
        <v>2.6080000000000001</v>
      </c>
      <c r="E275" s="225" t="s">
        <v>419</v>
      </c>
      <c r="F275" s="829"/>
      <c r="G275" s="829"/>
    </row>
    <row r="276" spans="1:7" x14ac:dyDescent="0.25">
      <c r="A276" s="843" t="s">
        <v>1515</v>
      </c>
      <c r="B276" s="843" t="s">
        <v>1516</v>
      </c>
      <c r="C276" s="843">
        <v>19202200125</v>
      </c>
      <c r="D276" s="843">
        <v>2.5</v>
      </c>
      <c r="E276" s="845" t="s">
        <v>420</v>
      </c>
      <c r="F276" s="829"/>
      <c r="G276" s="829"/>
    </row>
    <row r="277" spans="1:7" x14ac:dyDescent="0.25">
      <c r="A277" s="843" t="s">
        <v>1515</v>
      </c>
      <c r="B277" s="843" t="s">
        <v>1516</v>
      </c>
      <c r="C277" s="843">
        <v>19202200143</v>
      </c>
      <c r="D277" s="843">
        <v>2.4049999999999998</v>
      </c>
      <c r="E277" s="225" t="s">
        <v>419</v>
      </c>
      <c r="F277" s="829"/>
      <c r="G277" s="829"/>
    </row>
    <row r="278" spans="1:7" x14ac:dyDescent="0.25">
      <c r="A278" s="843" t="s">
        <v>1515</v>
      </c>
      <c r="B278" s="843" t="s">
        <v>1516</v>
      </c>
      <c r="C278" s="843">
        <v>19202200130</v>
      </c>
      <c r="D278" s="843">
        <v>2.3199999999999998</v>
      </c>
      <c r="E278" s="225" t="s">
        <v>419</v>
      </c>
      <c r="F278" s="829"/>
      <c r="G278" s="829"/>
    </row>
    <row r="279" spans="1:7" x14ac:dyDescent="0.25">
      <c r="A279" s="843" t="s">
        <v>1515</v>
      </c>
      <c r="B279" s="843" t="s">
        <v>1516</v>
      </c>
      <c r="C279" s="843">
        <v>19202200124</v>
      </c>
      <c r="D279" s="843">
        <v>2.0979999999999999</v>
      </c>
      <c r="E279" s="225" t="s">
        <v>419</v>
      </c>
      <c r="F279" s="829"/>
      <c r="G279" s="829"/>
    </row>
    <row r="280" spans="1:7" x14ac:dyDescent="0.25">
      <c r="A280" s="843" t="s">
        <v>1515</v>
      </c>
      <c r="B280" s="843" t="s">
        <v>1516</v>
      </c>
      <c r="C280" s="843">
        <v>19202200128</v>
      </c>
      <c r="D280" s="843">
        <v>2.0379999999999998</v>
      </c>
      <c r="E280" s="225" t="s">
        <v>419</v>
      </c>
      <c r="F280" s="829"/>
      <c r="G280" s="829"/>
    </row>
    <row r="281" spans="1:7" x14ac:dyDescent="0.25">
      <c r="A281" s="843" t="s">
        <v>1515</v>
      </c>
      <c r="B281" s="843" t="s">
        <v>1516</v>
      </c>
      <c r="C281" s="843">
        <v>19202200131</v>
      </c>
      <c r="D281" s="843">
        <v>2.02</v>
      </c>
      <c r="E281" s="225" t="s">
        <v>419</v>
      </c>
      <c r="F281" s="829"/>
      <c r="G281" s="829"/>
    </row>
    <row r="282" spans="1:7" x14ac:dyDescent="0.25">
      <c r="A282" s="843" t="s">
        <v>1515</v>
      </c>
      <c r="B282" s="843" t="s">
        <v>1516</v>
      </c>
      <c r="C282" s="843">
        <v>19202200139</v>
      </c>
      <c r="D282" s="843">
        <v>1.97</v>
      </c>
      <c r="E282" s="845" t="s">
        <v>420</v>
      </c>
      <c r="F282" s="829"/>
      <c r="G282" s="829"/>
    </row>
    <row r="283" spans="1:7" x14ac:dyDescent="0.25">
      <c r="A283" s="843" t="s">
        <v>1515</v>
      </c>
      <c r="B283" s="843" t="s">
        <v>1516</v>
      </c>
      <c r="C283" s="843">
        <v>19202200142</v>
      </c>
      <c r="D283" s="843">
        <v>1.575</v>
      </c>
      <c r="E283" s="845" t="s">
        <v>420</v>
      </c>
      <c r="F283" s="829"/>
      <c r="G283" s="829"/>
    </row>
    <row r="284" spans="1:7" x14ac:dyDescent="0.25">
      <c r="A284" s="843" t="s">
        <v>1515</v>
      </c>
      <c r="B284" s="843" t="s">
        <v>1516</v>
      </c>
      <c r="C284" s="843">
        <v>19202200140</v>
      </c>
      <c r="D284" s="843">
        <v>1.2030000000000001</v>
      </c>
      <c r="E284" s="845" t="s">
        <v>420</v>
      </c>
      <c r="F284" s="829"/>
      <c r="G284" s="829"/>
    </row>
  </sheetData>
  <mergeCells count="1">
    <mergeCell ref="A1:F1"/>
  </mergeCells>
  <pageMargins left="0.7" right="0.7" top="0.75" bottom="0.75" header="0.3" footer="0.3"/>
  <pageSetup paperSize="9" orientation="portrait" r:id="rId1"/>
  <ignoredErrors>
    <ignoredError sqref="C31 C45:C54 C39:C40 C55:C72 C41:C4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workbookViewId="0">
      <pane ySplit="2" topLeftCell="A183" activePane="bottomLeft" state="frozen"/>
      <selection pane="bottomLeft" activeCell="N194" sqref="N194"/>
    </sheetView>
  </sheetViews>
  <sheetFormatPr defaultRowHeight="15" x14ac:dyDescent="0.25"/>
  <cols>
    <col min="1" max="1" width="21" customWidth="1"/>
    <col min="2" max="2" width="47.5703125" customWidth="1"/>
    <col min="3" max="3" width="19.42578125" customWidth="1"/>
    <col min="4" max="4" width="15.42578125" customWidth="1"/>
    <col min="5" max="5" width="18.42578125" customWidth="1"/>
    <col min="6" max="6" width="15.42578125" customWidth="1"/>
  </cols>
  <sheetData>
    <row r="1" spans="1:6" ht="15.75" x14ac:dyDescent="0.25">
      <c r="A1" s="857" t="s">
        <v>34</v>
      </c>
      <c r="B1" s="857"/>
      <c r="C1" s="857"/>
      <c r="D1" s="857"/>
      <c r="E1" s="857"/>
      <c r="F1" s="857"/>
    </row>
    <row r="2" spans="1:6" ht="15.75" thickBot="1" x14ac:dyDescent="0.3">
      <c r="A2" s="108" t="s">
        <v>6</v>
      </c>
      <c r="B2" s="109" t="s">
        <v>2</v>
      </c>
      <c r="C2" s="110" t="s">
        <v>0</v>
      </c>
      <c r="D2" s="108" t="s">
        <v>1</v>
      </c>
      <c r="E2" s="183" t="s">
        <v>464</v>
      </c>
      <c r="F2" s="183" t="s">
        <v>577</v>
      </c>
    </row>
    <row r="3" spans="1:6" x14ac:dyDescent="0.25">
      <c r="A3" s="58" t="s">
        <v>492</v>
      </c>
      <c r="B3" s="186" t="s">
        <v>488</v>
      </c>
      <c r="C3" s="48" t="str">
        <f>"619216441328"</f>
        <v>619216441328</v>
      </c>
      <c r="D3" s="49">
        <v>4.3330000000000002</v>
      </c>
      <c r="E3" s="228" t="s">
        <v>419</v>
      </c>
      <c r="F3" s="229" t="s">
        <v>578</v>
      </c>
    </row>
    <row r="4" spans="1:6" x14ac:dyDescent="0.25">
      <c r="A4" s="60" t="s">
        <v>492</v>
      </c>
      <c r="B4" s="180" t="s">
        <v>488</v>
      </c>
      <c r="C4" s="5" t="str">
        <f>"619216441327"</f>
        <v>619216441327</v>
      </c>
      <c r="D4" s="2">
        <v>4.0330000000000004</v>
      </c>
      <c r="E4" s="225" t="s">
        <v>419</v>
      </c>
      <c r="F4" s="230" t="s">
        <v>579</v>
      </c>
    </row>
    <row r="5" spans="1:6" x14ac:dyDescent="0.25">
      <c r="A5" s="60" t="s">
        <v>492</v>
      </c>
      <c r="B5" s="180" t="s">
        <v>488</v>
      </c>
      <c r="C5" s="5" t="str">
        <f>"619216441326"</f>
        <v>619216441326</v>
      </c>
      <c r="D5" s="2">
        <v>3.96</v>
      </c>
      <c r="E5" s="225" t="s">
        <v>419</v>
      </c>
      <c r="F5" s="230" t="s">
        <v>580</v>
      </c>
    </row>
    <row r="6" spans="1:6" x14ac:dyDescent="0.25">
      <c r="A6" s="60" t="s">
        <v>492</v>
      </c>
      <c r="B6" s="180" t="s">
        <v>488</v>
      </c>
      <c r="C6" s="5" t="str">
        <f>"619216441325"</f>
        <v>619216441325</v>
      </c>
      <c r="D6" s="2">
        <v>3.35</v>
      </c>
      <c r="E6" s="225" t="s">
        <v>419</v>
      </c>
      <c r="F6" s="230" t="s">
        <v>581</v>
      </c>
    </row>
    <row r="7" spans="1:6" x14ac:dyDescent="0.25">
      <c r="A7" s="60" t="s">
        <v>492</v>
      </c>
      <c r="B7" s="180" t="s">
        <v>488</v>
      </c>
      <c r="C7" s="5" t="str">
        <f>"619216591324"</f>
        <v>619216591324</v>
      </c>
      <c r="D7" s="2">
        <v>3.347</v>
      </c>
      <c r="E7" s="225" t="s">
        <v>419</v>
      </c>
      <c r="F7" s="230" t="s">
        <v>582</v>
      </c>
    </row>
    <row r="8" spans="1:6" x14ac:dyDescent="0.25">
      <c r="A8" s="60" t="s">
        <v>492</v>
      </c>
      <c r="B8" s="180" t="s">
        <v>488</v>
      </c>
      <c r="C8" s="5" t="str">
        <f>"619216441323"</f>
        <v>619216441323</v>
      </c>
      <c r="D8" s="2">
        <v>3.1970000000000001</v>
      </c>
      <c r="E8" s="225" t="s">
        <v>419</v>
      </c>
      <c r="F8" s="230" t="s">
        <v>583</v>
      </c>
    </row>
    <row r="9" spans="1:6" ht="15.75" thickBot="1" x14ac:dyDescent="0.3">
      <c r="A9" s="61" t="s">
        <v>492</v>
      </c>
      <c r="B9" s="187" t="s">
        <v>488</v>
      </c>
      <c r="C9" s="44" t="str">
        <f>"619216441331"</f>
        <v>619216441331</v>
      </c>
      <c r="D9" s="51">
        <v>2.427</v>
      </c>
      <c r="E9" s="234" t="s">
        <v>420</v>
      </c>
      <c r="F9" s="231" t="s">
        <v>584</v>
      </c>
    </row>
    <row r="10" spans="1:6" x14ac:dyDescent="0.25">
      <c r="A10" s="58" t="s">
        <v>492</v>
      </c>
      <c r="B10" s="188" t="s">
        <v>489</v>
      </c>
      <c r="C10" s="48" t="str">
        <f>"619216441320"</f>
        <v>619216441320</v>
      </c>
      <c r="D10" s="49">
        <v>3.9449999999999998</v>
      </c>
      <c r="E10" s="213" t="s">
        <v>419</v>
      </c>
      <c r="F10" s="229" t="s">
        <v>578</v>
      </c>
    </row>
    <row r="11" spans="1:6" x14ac:dyDescent="0.25">
      <c r="A11" s="60" t="s">
        <v>492</v>
      </c>
      <c r="B11" s="181" t="s">
        <v>489</v>
      </c>
      <c r="C11" s="5" t="str">
        <f>"619216441319"</f>
        <v>619216441319</v>
      </c>
      <c r="D11" s="2">
        <v>3.6819999999999999</v>
      </c>
      <c r="E11" s="214" t="s">
        <v>419</v>
      </c>
      <c r="F11" s="230" t="s">
        <v>579</v>
      </c>
    </row>
    <row r="12" spans="1:6" x14ac:dyDescent="0.25">
      <c r="A12" s="60" t="s">
        <v>492</v>
      </c>
      <c r="B12" s="181" t="s">
        <v>489</v>
      </c>
      <c r="C12" s="5" t="str">
        <f>"619216441318"</f>
        <v>619216441318</v>
      </c>
      <c r="D12" s="2">
        <v>3.5680000000000001</v>
      </c>
      <c r="E12" s="214" t="s">
        <v>419</v>
      </c>
      <c r="F12" s="230" t="s">
        <v>580</v>
      </c>
    </row>
    <row r="13" spans="1:6" x14ac:dyDescent="0.25">
      <c r="A13" s="60" t="s">
        <v>492</v>
      </c>
      <c r="B13" s="181" t="s">
        <v>489</v>
      </c>
      <c r="C13" s="5" t="str">
        <f>"619216441317"</f>
        <v>619216441317</v>
      </c>
      <c r="D13" s="2">
        <v>3.2050000000000001</v>
      </c>
      <c r="E13" s="214" t="s">
        <v>419</v>
      </c>
      <c r="F13" s="230" t="s">
        <v>581</v>
      </c>
    </row>
    <row r="14" spans="1:6" x14ac:dyDescent="0.25">
      <c r="A14" s="60" t="s">
        <v>492</v>
      </c>
      <c r="B14" s="181" t="s">
        <v>489</v>
      </c>
      <c r="C14" s="5" t="str">
        <f>"619216441316"</f>
        <v>619216441316</v>
      </c>
      <c r="D14" s="2">
        <v>3.1640000000000001</v>
      </c>
      <c r="E14" s="214" t="s">
        <v>419</v>
      </c>
      <c r="F14" s="230" t="s">
        <v>582</v>
      </c>
    </row>
    <row r="15" spans="1:6" x14ac:dyDescent="0.25">
      <c r="A15" s="60" t="s">
        <v>492</v>
      </c>
      <c r="B15" s="181" t="s">
        <v>489</v>
      </c>
      <c r="C15" s="5" t="str">
        <f>"619216441332"</f>
        <v>619216441332</v>
      </c>
      <c r="D15" s="2">
        <v>2.3639999999999999</v>
      </c>
      <c r="E15" s="218" t="s">
        <v>420</v>
      </c>
      <c r="F15" s="230" t="s">
        <v>583</v>
      </c>
    </row>
    <row r="16" spans="1:6" x14ac:dyDescent="0.25">
      <c r="A16" s="60" t="s">
        <v>492</v>
      </c>
      <c r="B16" s="181" t="s">
        <v>489</v>
      </c>
      <c r="C16" s="5" t="str">
        <f>"619216441333"</f>
        <v>619216441333</v>
      </c>
      <c r="D16" s="2">
        <v>2.2069999999999999</v>
      </c>
      <c r="E16" s="218" t="s">
        <v>420</v>
      </c>
      <c r="F16" s="230" t="s">
        <v>584</v>
      </c>
    </row>
    <row r="17" spans="1:6" ht="15.75" thickBot="1" x14ac:dyDescent="0.3">
      <c r="A17" s="61" t="s">
        <v>492</v>
      </c>
      <c r="B17" s="189" t="s">
        <v>489</v>
      </c>
      <c r="C17" s="44" t="str">
        <f>"619216371334"</f>
        <v>619216371334</v>
      </c>
      <c r="D17" s="51">
        <v>1.859</v>
      </c>
      <c r="E17" s="219" t="s">
        <v>420</v>
      </c>
      <c r="F17" s="231" t="s">
        <v>585</v>
      </c>
    </row>
    <row r="18" spans="1:6" x14ac:dyDescent="0.25">
      <c r="A18" s="58" t="s">
        <v>492</v>
      </c>
      <c r="B18" s="188" t="s">
        <v>490</v>
      </c>
      <c r="C18" s="48" t="str">
        <f>"619216441312"</f>
        <v>619216441312</v>
      </c>
      <c r="D18" s="49">
        <v>3.9350000000000001</v>
      </c>
      <c r="E18" s="213" t="s">
        <v>419</v>
      </c>
      <c r="F18" s="229" t="s">
        <v>578</v>
      </c>
    </row>
    <row r="19" spans="1:6" x14ac:dyDescent="0.25">
      <c r="A19" s="60" t="s">
        <v>492</v>
      </c>
      <c r="B19" s="181" t="s">
        <v>490</v>
      </c>
      <c r="C19" s="5" t="str">
        <f>"619216441313"</f>
        <v>619216441313</v>
      </c>
      <c r="D19" s="2">
        <v>3.915</v>
      </c>
      <c r="E19" s="214" t="s">
        <v>419</v>
      </c>
      <c r="F19" s="230" t="s">
        <v>579</v>
      </c>
    </row>
    <row r="20" spans="1:6" ht="15.75" thickBot="1" x14ac:dyDescent="0.3">
      <c r="A20" s="61" t="s">
        <v>492</v>
      </c>
      <c r="B20" s="189" t="s">
        <v>490</v>
      </c>
      <c r="C20" s="44" t="str">
        <f>"619216591314"</f>
        <v>619216591314</v>
      </c>
      <c r="D20" s="51">
        <v>3.8460000000000001</v>
      </c>
      <c r="E20" s="215" t="s">
        <v>419</v>
      </c>
      <c r="F20" s="231" t="s">
        <v>580</v>
      </c>
    </row>
    <row r="21" spans="1:6" ht="15.75" thickBot="1" x14ac:dyDescent="0.3">
      <c r="A21" s="171" t="s">
        <v>492</v>
      </c>
      <c r="B21" s="190" t="s">
        <v>491</v>
      </c>
      <c r="C21" s="173" t="str">
        <f>"619216441330"</f>
        <v>619216441330</v>
      </c>
      <c r="D21" s="191">
        <v>3.8610000000000002</v>
      </c>
      <c r="E21" s="217" t="s">
        <v>419</v>
      </c>
      <c r="F21" s="232" t="s">
        <v>578</v>
      </c>
    </row>
    <row r="22" spans="1:6" x14ac:dyDescent="0.25">
      <c r="A22" s="391" t="s">
        <v>743</v>
      </c>
      <c r="B22" s="186" t="s">
        <v>488</v>
      </c>
      <c r="C22" s="48" t="str">
        <f>"619217442061"</f>
        <v>619217442061</v>
      </c>
      <c r="D22" s="67">
        <v>4.3360000000000003</v>
      </c>
      <c r="E22" s="228" t="s">
        <v>419</v>
      </c>
      <c r="F22" s="229">
        <v>1</v>
      </c>
    </row>
    <row r="23" spans="1:6" x14ac:dyDescent="0.25">
      <c r="A23" s="392" t="s">
        <v>743</v>
      </c>
      <c r="B23" s="180" t="s">
        <v>488</v>
      </c>
      <c r="C23" s="5" t="str">
        <f>"619217442062"</f>
        <v>619217442062</v>
      </c>
      <c r="D23" s="30">
        <v>3.2709999999999999</v>
      </c>
      <c r="E23" s="225" t="s">
        <v>419</v>
      </c>
      <c r="F23" s="230">
        <v>2</v>
      </c>
    </row>
    <row r="24" spans="1:6" x14ac:dyDescent="0.25">
      <c r="A24" s="392" t="s">
        <v>743</v>
      </c>
      <c r="B24" s="180" t="s">
        <v>488</v>
      </c>
      <c r="C24" s="5" t="str">
        <f>"619217442063"</f>
        <v>619217442063</v>
      </c>
      <c r="D24" s="30">
        <v>3.2109999999999999</v>
      </c>
      <c r="E24" s="225" t="s">
        <v>419</v>
      </c>
      <c r="F24" s="230">
        <v>3</v>
      </c>
    </row>
    <row r="25" spans="1:6" ht="15.75" thickBot="1" x14ac:dyDescent="0.3">
      <c r="A25" s="393" t="s">
        <v>743</v>
      </c>
      <c r="B25" s="187" t="s">
        <v>488</v>
      </c>
      <c r="C25" s="44" t="str">
        <f>"619217442064"</f>
        <v>619217442064</v>
      </c>
      <c r="D25" s="138">
        <v>2.839</v>
      </c>
      <c r="E25" s="260" t="s">
        <v>419</v>
      </c>
      <c r="F25" s="231">
        <v>4</v>
      </c>
    </row>
    <row r="26" spans="1:6" x14ac:dyDescent="0.25">
      <c r="A26" s="391" t="s">
        <v>743</v>
      </c>
      <c r="B26" s="188" t="s">
        <v>489</v>
      </c>
      <c r="C26" s="48" t="str">
        <f>"619217442065"</f>
        <v>619217442065</v>
      </c>
      <c r="D26" s="67">
        <v>4.0789999999999997</v>
      </c>
      <c r="E26" s="228" t="s">
        <v>419</v>
      </c>
      <c r="F26" s="229">
        <v>1</v>
      </c>
    </row>
    <row r="27" spans="1:6" x14ac:dyDescent="0.25">
      <c r="A27" s="392" t="s">
        <v>743</v>
      </c>
      <c r="B27" s="181" t="s">
        <v>489</v>
      </c>
      <c r="C27" s="5" t="str">
        <f>"619217442066"</f>
        <v>619217442066</v>
      </c>
      <c r="D27" s="30">
        <v>3.8460000000000001</v>
      </c>
      <c r="E27" s="225" t="s">
        <v>419</v>
      </c>
      <c r="F27" s="230">
        <v>2</v>
      </c>
    </row>
    <row r="28" spans="1:6" x14ac:dyDescent="0.25">
      <c r="A28" s="392" t="s">
        <v>743</v>
      </c>
      <c r="B28" s="181" t="s">
        <v>489</v>
      </c>
      <c r="C28" s="5" t="str">
        <f>"619217442067"</f>
        <v>619217442067</v>
      </c>
      <c r="D28" s="30">
        <v>3.6459999999999999</v>
      </c>
      <c r="E28" s="225" t="s">
        <v>419</v>
      </c>
      <c r="F28" s="230">
        <v>3</v>
      </c>
    </row>
    <row r="29" spans="1:6" x14ac:dyDescent="0.25">
      <c r="A29" s="392" t="s">
        <v>743</v>
      </c>
      <c r="B29" s="181" t="s">
        <v>489</v>
      </c>
      <c r="C29" s="5" t="str">
        <f>"619217442068"</f>
        <v>619217442068</v>
      </c>
      <c r="D29" s="30">
        <v>3.6379999999999999</v>
      </c>
      <c r="E29" s="225" t="s">
        <v>419</v>
      </c>
      <c r="F29" s="230">
        <v>4</v>
      </c>
    </row>
    <row r="30" spans="1:6" x14ac:dyDescent="0.25">
      <c r="A30" s="392" t="s">
        <v>743</v>
      </c>
      <c r="B30" s="181" t="s">
        <v>489</v>
      </c>
      <c r="C30" s="5" t="str">
        <f>"619217442069"</f>
        <v>619217442069</v>
      </c>
      <c r="D30" s="30">
        <v>3.4129999999999998</v>
      </c>
      <c r="E30" s="225" t="s">
        <v>419</v>
      </c>
      <c r="F30" s="247">
        <v>5</v>
      </c>
    </row>
    <row r="31" spans="1:6" x14ac:dyDescent="0.25">
      <c r="A31" s="392" t="s">
        <v>743</v>
      </c>
      <c r="B31" s="181" t="s">
        <v>489</v>
      </c>
      <c r="C31" s="5" t="str">
        <f>"619217592070"</f>
        <v>619217592070</v>
      </c>
      <c r="D31" s="30">
        <v>3.3460000000000001</v>
      </c>
      <c r="E31" s="225" t="s">
        <v>419</v>
      </c>
      <c r="F31" s="247">
        <v>6</v>
      </c>
    </row>
    <row r="32" spans="1:6" x14ac:dyDescent="0.25">
      <c r="A32" s="392" t="s">
        <v>743</v>
      </c>
      <c r="B32" s="181" t="s">
        <v>489</v>
      </c>
      <c r="C32" s="5" t="str">
        <f>"619217592071"</f>
        <v>619217592071</v>
      </c>
      <c r="D32" s="30">
        <v>3.2709999999999999</v>
      </c>
      <c r="E32" s="225" t="s">
        <v>419</v>
      </c>
      <c r="F32" s="247">
        <v>7</v>
      </c>
    </row>
    <row r="33" spans="1:7" x14ac:dyDescent="0.25">
      <c r="A33" s="392" t="s">
        <v>743</v>
      </c>
      <c r="B33" s="181" t="s">
        <v>489</v>
      </c>
      <c r="C33" s="5" t="str">
        <f>"619217442072"</f>
        <v>619217442072</v>
      </c>
      <c r="D33" s="30">
        <v>3.0289999999999999</v>
      </c>
      <c r="E33" s="225" t="s">
        <v>419</v>
      </c>
      <c r="F33" s="247">
        <v>8</v>
      </c>
    </row>
    <row r="34" spans="1:7" x14ac:dyDescent="0.25">
      <c r="A34" s="392" t="s">
        <v>743</v>
      </c>
      <c r="B34" s="181" t="s">
        <v>489</v>
      </c>
      <c r="C34" s="5" t="str">
        <f>"619217442073"</f>
        <v>619217442073</v>
      </c>
      <c r="D34" s="30">
        <v>3.008</v>
      </c>
      <c r="E34" s="225" t="s">
        <v>419</v>
      </c>
      <c r="F34" s="247">
        <v>9</v>
      </c>
    </row>
    <row r="35" spans="1:7" x14ac:dyDescent="0.25">
      <c r="A35" s="392" t="s">
        <v>743</v>
      </c>
      <c r="B35" s="181" t="s">
        <v>489</v>
      </c>
      <c r="C35" s="5" t="str">
        <f>"619217442074"</f>
        <v>619217442074</v>
      </c>
      <c r="D35" s="30">
        <v>2.8</v>
      </c>
      <c r="E35" s="225" t="s">
        <v>419</v>
      </c>
      <c r="F35" s="247">
        <v>10</v>
      </c>
    </row>
    <row r="36" spans="1:7" x14ac:dyDescent="0.25">
      <c r="A36" s="392" t="s">
        <v>743</v>
      </c>
      <c r="B36" s="181" t="s">
        <v>489</v>
      </c>
      <c r="C36" s="5" t="str">
        <f>"619217442110"</f>
        <v>619217442110</v>
      </c>
      <c r="D36" s="30">
        <v>2.2000000000000002</v>
      </c>
      <c r="E36" s="226" t="s">
        <v>420</v>
      </c>
      <c r="F36" s="247">
        <v>11</v>
      </c>
      <c r="G36" t="s">
        <v>744</v>
      </c>
    </row>
    <row r="37" spans="1:7" ht="15.75" thickBot="1" x14ac:dyDescent="0.3">
      <c r="A37" s="393" t="s">
        <v>743</v>
      </c>
      <c r="B37" s="189" t="s">
        <v>489</v>
      </c>
      <c r="C37" s="44" t="str">
        <f>"619217442109"</f>
        <v>619217442109</v>
      </c>
      <c r="D37" s="138">
        <v>1.55</v>
      </c>
      <c r="E37" s="234" t="s">
        <v>420</v>
      </c>
      <c r="F37" s="248">
        <v>12</v>
      </c>
    </row>
    <row r="38" spans="1:7" x14ac:dyDescent="0.25">
      <c r="A38" s="391" t="s">
        <v>743</v>
      </c>
      <c r="B38" s="188" t="s">
        <v>491</v>
      </c>
      <c r="C38" s="48" t="str">
        <f>"619217442075"</f>
        <v>619217442075</v>
      </c>
      <c r="D38" s="67">
        <v>4.0309999999999997</v>
      </c>
      <c r="E38" s="228" t="s">
        <v>419</v>
      </c>
      <c r="F38" s="246">
        <v>1</v>
      </c>
    </row>
    <row r="39" spans="1:7" ht="15.75" thickBot="1" x14ac:dyDescent="0.3">
      <c r="A39" s="393" t="s">
        <v>743</v>
      </c>
      <c r="B39" s="189" t="s">
        <v>491</v>
      </c>
      <c r="C39" s="44" t="str">
        <f>"619217442076"</f>
        <v>619217442076</v>
      </c>
      <c r="D39" s="138">
        <v>3.819</v>
      </c>
      <c r="E39" s="260" t="s">
        <v>419</v>
      </c>
      <c r="F39" s="248">
        <v>2</v>
      </c>
    </row>
    <row r="40" spans="1:7" x14ac:dyDescent="0.25">
      <c r="A40" s="391" t="s">
        <v>743</v>
      </c>
      <c r="B40" s="49" t="s">
        <v>745</v>
      </c>
      <c r="C40" s="48" t="str">
        <f>"619217442077"</f>
        <v>619217442077</v>
      </c>
      <c r="D40" s="67">
        <v>4.05</v>
      </c>
      <c r="E40" s="228" t="s">
        <v>419</v>
      </c>
      <c r="F40" s="246">
        <v>1</v>
      </c>
    </row>
    <row r="41" spans="1:7" x14ac:dyDescent="0.25">
      <c r="A41" s="392" t="s">
        <v>743</v>
      </c>
      <c r="B41" s="2" t="s">
        <v>745</v>
      </c>
      <c r="C41" s="5" t="str">
        <f>"619217442078"</f>
        <v>619217442078</v>
      </c>
      <c r="D41" s="30">
        <v>3.6349999999999998</v>
      </c>
      <c r="E41" s="225" t="s">
        <v>419</v>
      </c>
      <c r="F41" s="247">
        <v>2</v>
      </c>
    </row>
    <row r="42" spans="1:7" x14ac:dyDescent="0.25">
      <c r="A42" s="392" t="s">
        <v>743</v>
      </c>
      <c r="B42" s="2" t="s">
        <v>745</v>
      </c>
      <c r="C42" s="5" t="str">
        <f>"619217442079"</f>
        <v>619217442079</v>
      </c>
      <c r="D42" s="30">
        <v>3.573</v>
      </c>
      <c r="E42" s="225" t="s">
        <v>419</v>
      </c>
      <c r="F42" s="247">
        <v>3</v>
      </c>
    </row>
    <row r="43" spans="1:7" x14ac:dyDescent="0.25">
      <c r="A43" s="577" t="s">
        <v>743</v>
      </c>
      <c r="B43" s="179" t="s">
        <v>745</v>
      </c>
      <c r="C43" s="106" t="str">
        <f>"619217442080"</f>
        <v>619217442080</v>
      </c>
      <c r="D43" s="578">
        <v>3.2730000000000001</v>
      </c>
      <c r="E43" s="366" t="s">
        <v>419</v>
      </c>
      <c r="F43" s="373">
        <v>4</v>
      </c>
    </row>
    <row r="44" spans="1:7" x14ac:dyDescent="0.25">
      <c r="A44" s="2" t="s">
        <v>1079</v>
      </c>
      <c r="B44" s="77" t="s">
        <v>488</v>
      </c>
      <c r="C44" s="2" t="str">
        <f>"619217453488"</f>
        <v>619217453488</v>
      </c>
      <c r="D44" s="2">
        <v>4.13</v>
      </c>
      <c r="E44" s="225" t="s">
        <v>419</v>
      </c>
      <c r="F44" s="2" t="s">
        <v>578</v>
      </c>
    </row>
    <row r="45" spans="1:7" x14ac:dyDescent="0.25">
      <c r="A45" s="2" t="s">
        <v>1079</v>
      </c>
      <c r="B45" s="77" t="s">
        <v>488</v>
      </c>
      <c r="C45" s="2" t="str">
        <f>"619217453466"</f>
        <v>619217453466</v>
      </c>
      <c r="D45" s="2">
        <v>3.86</v>
      </c>
      <c r="E45" s="225" t="s">
        <v>419</v>
      </c>
      <c r="F45" s="2" t="s">
        <v>579</v>
      </c>
    </row>
    <row r="46" spans="1:7" x14ac:dyDescent="0.25">
      <c r="A46" s="2" t="s">
        <v>1079</v>
      </c>
      <c r="B46" s="77" t="s">
        <v>488</v>
      </c>
      <c r="C46" s="2" t="str">
        <f>"619217453437"</f>
        <v>619217453437</v>
      </c>
      <c r="D46" s="2">
        <v>3.67</v>
      </c>
      <c r="E46" s="225" t="s">
        <v>419</v>
      </c>
      <c r="F46" s="2" t="s">
        <v>580</v>
      </c>
    </row>
    <row r="47" spans="1:7" x14ac:dyDescent="0.25">
      <c r="A47" s="2" t="s">
        <v>1079</v>
      </c>
      <c r="B47" s="77" t="s">
        <v>488</v>
      </c>
      <c r="C47" s="2" t="str">
        <f>"619217453485"</f>
        <v>619217453485</v>
      </c>
      <c r="D47" s="2">
        <v>3.62</v>
      </c>
      <c r="E47" s="225" t="s">
        <v>419</v>
      </c>
      <c r="F47" s="2" t="s">
        <v>581</v>
      </c>
    </row>
    <row r="48" spans="1:7" x14ac:dyDescent="0.25">
      <c r="A48" s="2" t="s">
        <v>1079</v>
      </c>
      <c r="B48" s="77" t="s">
        <v>488</v>
      </c>
      <c r="C48" s="2" t="str">
        <f>"619217603484"</f>
        <v>619217603484</v>
      </c>
      <c r="D48" s="2">
        <v>3.59</v>
      </c>
      <c r="E48" s="225" t="s">
        <v>419</v>
      </c>
      <c r="F48" s="2" t="s">
        <v>582</v>
      </c>
    </row>
    <row r="49" spans="1:6" x14ac:dyDescent="0.25">
      <c r="A49" s="2" t="s">
        <v>1079</v>
      </c>
      <c r="B49" s="77" t="s">
        <v>488</v>
      </c>
      <c r="C49" s="2" t="str">
        <f>"619217453483"</f>
        <v>619217453483</v>
      </c>
      <c r="D49" s="2">
        <v>3.58</v>
      </c>
      <c r="E49" s="225" t="s">
        <v>419</v>
      </c>
      <c r="F49" s="2" t="s">
        <v>583</v>
      </c>
    </row>
    <row r="50" spans="1:6" x14ac:dyDescent="0.25">
      <c r="A50" s="2" t="s">
        <v>1079</v>
      </c>
      <c r="B50" s="77" t="s">
        <v>488</v>
      </c>
      <c r="C50" s="2" t="str">
        <f>"619217603444"</f>
        <v>619217603444</v>
      </c>
      <c r="D50" s="2">
        <v>3.25</v>
      </c>
      <c r="E50" s="225" t="s">
        <v>419</v>
      </c>
      <c r="F50" s="2" t="s">
        <v>584</v>
      </c>
    </row>
    <row r="51" spans="1:6" x14ac:dyDescent="0.25">
      <c r="A51" s="2" t="s">
        <v>1079</v>
      </c>
      <c r="B51" s="77" t="s">
        <v>488</v>
      </c>
      <c r="C51" s="2" t="str">
        <f>"619217603443"</f>
        <v>619217603443</v>
      </c>
      <c r="D51" s="2">
        <v>2.92</v>
      </c>
      <c r="E51" s="225" t="s">
        <v>419</v>
      </c>
      <c r="F51" s="2" t="s">
        <v>585</v>
      </c>
    </row>
    <row r="52" spans="1:6" x14ac:dyDescent="0.25">
      <c r="A52" s="2" t="s">
        <v>1079</v>
      </c>
      <c r="B52" s="77" t="s">
        <v>488</v>
      </c>
      <c r="C52" s="2" t="str">
        <f>"619217453439"</f>
        <v>619217453439</v>
      </c>
      <c r="D52" s="2">
        <v>2.62</v>
      </c>
      <c r="E52" s="225" t="s">
        <v>419</v>
      </c>
      <c r="F52" s="2" t="s">
        <v>586</v>
      </c>
    </row>
    <row r="53" spans="1:6" x14ac:dyDescent="0.25">
      <c r="A53" s="2" t="s">
        <v>1079</v>
      </c>
      <c r="B53" s="77" t="s">
        <v>490</v>
      </c>
      <c r="C53" s="2" t="str">
        <f>"619217603482"</f>
        <v>619217603482</v>
      </c>
      <c r="D53" s="2">
        <v>3.84</v>
      </c>
      <c r="E53" s="225" t="s">
        <v>419</v>
      </c>
      <c r="F53" s="2" t="s">
        <v>578</v>
      </c>
    </row>
    <row r="54" spans="1:6" x14ac:dyDescent="0.25">
      <c r="A54" s="2" t="s">
        <v>1079</v>
      </c>
      <c r="B54" s="77" t="s">
        <v>490</v>
      </c>
      <c r="C54" s="2" t="str">
        <f>"619217453470"</f>
        <v>619217453470</v>
      </c>
      <c r="D54" s="2">
        <v>3.57</v>
      </c>
      <c r="E54" s="225" t="s">
        <v>419</v>
      </c>
      <c r="F54" s="2" t="s">
        <v>579</v>
      </c>
    </row>
    <row r="55" spans="1:6" x14ac:dyDescent="0.25">
      <c r="A55" s="2" t="s">
        <v>1079</v>
      </c>
      <c r="B55" s="77" t="s">
        <v>490</v>
      </c>
      <c r="C55" s="2" t="str">
        <f>"619217453487"</f>
        <v>619217453487</v>
      </c>
      <c r="D55" s="2">
        <v>3.5</v>
      </c>
      <c r="E55" s="225" t="s">
        <v>419</v>
      </c>
      <c r="F55" s="2" t="s">
        <v>580</v>
      </c>
    </row>
    <row r="56" spans="1:6" x14ac:dyDescent="0.25">
      <c r="A56" s="2" t="s">
        <v>1079</v>
      </c>
      <c r="B56" s="77" t="s">
        <v>490</v>
      </c>
      <c r="C56" s="2" t="str">
        <f>"619217453486"</f>
        <v>619217453486</v>
      </c>
      <c r="D56" s="2">
        <v>3.39</v>
      </c>
      <c r="E56" s="225" t="s">
        <v>419</v>
      </c>
      <c r="F56" s="2" t="s">
        <v>581</v>
      </c>
    </row>
    <row r="57" spans="1:6" x14ac:dyDescent="0.25">
      <c r="A57" s="2" t="s">
        <v>1079</v>
      </c>
      <c r="B57" s="77" t="s">
        <v>490</v>
      </c>
      <c r="C57" s="2" t="str">
        <f>"619217603477"</f>
        <v>619217603477</v>
      </c>
      <c r="D57" s="2">
        <v>3.32</v>
      </c>
      <c r="E57" s="225" t="s">
        <v>419</v>
      </c>
      <c r="F57" s="2" t="s">
        <v>582</v>
      </c>
    </row>
    <row r="58" spans="1:6" x14ac:dyDescent="0.25">
      <c r="A58" s="2" t="s">
        <v>1079</v>
      </c>
      <c r="B58" s="77" t="s">
        <v>491</v>
      </c>
      <c r="C58" s="2" t="str">
        <f>"619217453476"</f>
        <v>619217453476</v>
      </c>
      <c r="D58" s="2">
        <v>4.33</v>
      </c>
      <c r="E58" s="225" t="s">
        <v>419</v>
      </c>
      <c r="F58" s="26" t="s">
        <v>578</v>
      </c>
    </row>
    <row r="59" spans="1:6" x14ac:dyDescent="0.25">
      <c r="A59" s="2" t="s">
        <v>1079</v>
      </c>
      <c r="B59" s="77" t="s">
        <v>491</v>
      </c>
      <c r="C59" s="2" t="str">
        <f>"619217603441"</f>
        <v>619217603441</v>
      </c>
      <c r="D59" s="2">
        <v>3.81</v>
      </c>
      <c r="E59" s="225" t="s">
        <v>419</v>
      </c>
      <c r="F59" s="26" t="s">
        <v>579</v>
      </c>
    </row>
    <row r="60" spans="1:6" x14ac:dyDescent="0.25">
      <c r="A60" s="2" t="s">
        <v>1079</v>
      </c>
      <c r="B60" s="77" t="s">
        <v>491</v>
      </c>
      <c r="C60" s="2" t="str">
        <f>"619217453489"</f>
        <v>619217453489</v>
      </c>
      <c r="D60" s="2">
        <v>3.3</v>
      </c>
      <c r="E60" s="225" t="s">
        <v>419</v>
      </c>
      <c r="F60" s="26" t="s">
        <v>580</v>
      </c>
    </row>
    <row r="61" spans="1:6" x14ac:dyDescent="0.25">
      <c r="A61" s="2" t="s">
        <v>1079</v>
      </c>
      <c r="B61" s="77" t="s">
        <v>745</v>
      </c>
      <c r="C61" s="2" t="str">
        <f>"619217603440"</f>
        <v>619217603440</v>
      </c>
      <c r="D61" s="2">
        <v>3.69</v>
      </c>
      <c r="E61" s="225" t="s">
        <v>419</v>
      </c>
      <c r="F61" s="26" t="s">
        <v>578</v>
      </c>
    </row>
    <row r="62" spans="1:6" x14ac:dyDescent="0.25">
      <c r="A62" s="26" t="s">
        <v>1108</v>
      </c>
      <c r="B62" s="77" t="s">
        <v>488</v>
      </c>
      <c r="C62" s="5">
        <v>19201800360</v>
      </c>
      <c r="D62" s="2">
        <v>4.2699999999999996</v>
      </c>
      <c r="E62" s="225" t="s">
        <v>419</v>
      </c>
      <c r="F62" s="2" t="s">
        <v>578</v>
      </c>
    </row>
    <row r="63" spans="1:6" x14ac:dyDescent="0.25">
      <c r="A63" s="26" t="s">
        <v>1108</v>
      </c>
      <c r="B63" s="77" t="s">
        <v>488</v>
      </c>
      <c r="C63" s="5">
        <v>19201800418</v>
      </c>
      <c r="D63" s="2">
        <v>3.73</v>
      </c>
      <c r="E63" s="225" t="s">
        <v>419</v>
      </c>
      <c r="F63" s="2" t="s">
        <v>579</v>
      </c>
    </row>
    <row r="64" spans="1:6" x14ac:dyDescent="0.25">
      <c r="A64" s="26" t="s">
        <v>1108</v>
      </c>
      <c r="B64" s="77" t="s">
        <v>488</v>
      </c>
      <c r="C64" s="5">
        <v>19201800392</v>
      </c>
      <c r="D64" s="2">
        <v>3.48</v>
      </c>
      <c r="E64" s="225" t="s">
        <v>419</v>
      </c>
      <c r="F64" s="2" t="s">
        <v>580</v>
      </c>
    </row>
    <row r="65" spans="1:6" x14ac:dyDescent="0.25">
      <c r="A65" s="26" t="s">
        <v>1108</v>
      </c>
      <c r="B65" s="77" t="s">
        <v>488</v>
      </c>
      <c r="C65" s="5">
        <v>19201800419</v>
      </c>
      <c r="D65" s="2">
        <v>3.48</v>
      </c>
      <c r="E65" s="225" t="s">
        <v>419</v>
      </c>
      <c r="F65" s="2" t="s">
        <v>581</v>
      </c>
    </row>
    <row r="66" spans="1:6" x14ac:dyDescent="0.25">
      <c r="A66" s="26" t="s">
        <v>1108</v>
      </c>
      <c r="B66" s="77" t="s">
        <v>488</v>
      </c>
      <c r="C66" s="5">
        <v>19201800416</v>
      </c>
      <c r="D66" s="2">
        <v>3.46</v>
      </c>
      <c r="E66" s="225" t="s">
        <v>419</v>
      </c>
      <c r="F66" s="2" t="s">
        <v>582</v>
      </c>
    </row>
    <row r="67" spans="1:6" x14ac:dyDescent="0.25">
      <c r="A67" s="26" t="s">
        <v>1108</v>
      </c>
      <c r="B67" s="77" t="s">
        <v>488</v>
      </c>
      <c r="C67" s="5">
        <v>19201800426</v>
      </c>
      <c r="D67" s="2">
        <v>3.26</v>
      </c>
      <c r="E67" s="225" t="s">
        <v>419</v>
      </c>
      <c r="F67" s="2" t="s">
        <v>583</v>
      </c>
    </row>
    <row r="68" spans="1:6" x14ac:dyDescent="0.25">
      <c r="A68" s="26" t="s">
        <v>1108</v>
      </c>
      <c r="B68" s="77" t="s">
        <v>488</v>
      </c>
      <c r="C68" s="5">
        <v>19201800425</v>
      </c>
      <c r="D68" s="2">
        <v>3.17</v>
      </c>
      <c r="E68" s="225" t="s">
        <v>419</v>
      </c>
      <c r="F68" s="2" t="s">
        <v>584</v>
      </c>
    </row>
    <row r="69" spans="1:6" x14ac:dyDescent="0.25">
      <c r="A69" s="26" t="s">
        <v>1108</v>
      </c>
      <c r="B69" s="77" t="s">
        <v>488</v>
      </c>
      <c r="C69" s="5">
        <v>19201800427</v>
      </c>
      <c r="D69" s="2">
        <v>3.16</v>
      </c>
      <c r="E69" s="225" t="s">
        <v>419</v>
      </c>
      <c r="F69" s="2" t="s">
        <v>585</v>
      </c>
    </row>
    <row r="70" spans="1:6" x14ac:dyDescent="0.25">
      <c r="A70" s="26" t="s">
        <v>1108</v>
      </c>
      <c r="B70" s="77" t="s">
        <v>488</v>
      </c>
      <c r="C70" s="5">
        <v>19201800420</v>
      </c>
      <c r="D70" s="2">
        <v>2.52</v>
      </c>
      <c r="E70" s="225" t="s">
        <v>419</v>
      </c>
      <c r="F70" s="2" t="s">
        <v>586</v>
      </c>
    </row>
    <row r="71" spans="1:6" x14ac:dyDescent="0.25">
      <c r="A71" s="26" t="s">
        <v>1108</v>
      </c>
      <c r="B71" s="77" t="s">
        <v>489</v>
      </c>
      <c r="C71" s="5">
        <v>19201800541</v>
      </c>
      <c r="D71" s="2">
        <v>4.25</v>
      </c>
      <c r="E71" s="225" t="s">
        <v>419</v>
      </c>
      <c r="F71" s="26" t="s">
        <v>578</v>
      </c>
    </row>
    <row r="72" spans="1:6" x14ac:dyDescent="0.25">
      <c r="A72" s="26" t="s">
        <v>1108</v>
      </c>
      <c r="B72" s="77" t="s">
        <v>489</v>
      </c>
      <c r="C72" s="5">
        <v>19201800361</v>
      </c>
      <c r="D72" s="2">
        <v>4.13</v>
      </c>
      <c r="E72" s="225" t="s">
        <v>419</v>
      </c>
      <c r="F72" s="26" t="s">
        <v>579</v>
      </c>
    </row>
    <row r="73" spans="1:6" x14ac:dyDescent="0.25">
      <c r="A73" s="26" t="s">
        <v>1108</v>
      </c>
      <c r="B73" s="77" t="s">
        <v>489</v>
      </c>
      <c r="C73" s="5">
        <v>19201800422</v>
      </c>
      <c r="D73" s="2">
        <v>4.0599999999999996</v>
      </c>
      <c r="E73" s="225" t="s">
        <v>419</v>
      </c>
      <c r="F73" s="26" t="s">
        <v>580</v>
      </c>
    </row>
    <row r="74" spans="1:6" x14ac:dyDescent="0.25">
      <c r="A74" s="26" t="s">
        <v>1108</v>
      </c>
      <c r="B74" s="77" t="s">
        <v>489</v>
      </c>
      <c r="C74" s="5">
        <v>19201800393</v>
      </c>
      <c r="D74" s="2">
        <v>3.96</v>
      </c>
      <c r="E74" s="225" t="s">
        <v>419</v>
      </c>
      <c r="F74" s="26" t="s">
        <v>581</v>
      </c>
    </row>
    <row r="75" spans="1:6" x14ac:dyDescent="0.25">
      <c r="A75" s="26" t="s">
        <v>1108</v>
      </c>
      <c r="B75" s="77" t="s">
        <v>489</v>
      </c>
      <c r="C75" s="5">
        <v>19201800414</v>
      </c>
      <c r="D75" s="2">
        <v>3.94</v>
      </c>
      <c r="E75" s="225" t="s">
        <v>419</v>
      </c>
      <c r="F75" s="26" t="s">
        <v>582</v>
      </c>
    </row>
    <row r="76" spans="1:6" x14ac:dyDescent="0.25">
      <c r="A76" s="26" t="s">
        <v>1108</v>
      </c>
      <c r="B76" s="77" t="s">
        <v>489</v>
      </c>
      <c r="C76" s="5">
        <v>19201800358</v>
      </c>
      <c r="D76" s="2">
        <v>3.43</v>
      </c>
      <c r="E76" s="225" t="s">
        <v>419</v>
      </c>
      <c r="F76" s="26" t="s">
        <v>583</v>
      </c>
    </row>
    <row r="77" spans="1:6" x14ac:dyDescent="0.25">
      <c r="A77" s="26" t="s">
        <v>1108</v>
      </c>
      <c r="B77" s="77" t="s">
        <v>490</v>
      </c>
      <c r="C77" s="5">
        <v>19201800359</v>
      </c>
      <c r="D77" s="2">
        <v>3.2</v>
      </c>
      <c r="E77" s="225" t="s">
        <v>419</v>
      </c>
      <c r="F77" s="26" t="s">
        <v>578</v>
      </c>
    </row>
    <row r="78" spans="1:6" x14ac:dyDescent="0.25">
      <c r="A78" s="26" t="s">
        <v>1108</v>
      </c>
      <c r="B78" s="77" t="s">
        <v>490</v>
      </c>
      <c r="C78" s="5">
        <v>19201800424</v>
      </c>
      <c r="D78" s="2">
        <v>2.78</v>
      </c>
      <c r="E78" s="225" t="s">
        <v>419</v>
      </c>
      <c r="F78" s="26" t="s">
        <v>579</v>
      </c>
    </row>
    <row r="79" spans="1:6" x14ac:dyDescent="0.25">
      <c r="A79" s="26" t="s">
        <v>1108</v>
      </c>
      <c r="B79" s="77" t="s">
        <v>491</v>
      </c>
      <c r="C79" s="5">
        <v>19201800423</v>
      </c>
      <c r="D79" s="2">
        <v>3.47</v>
      </c>
      <c r="E79" s="225" t="s">
        <v>419</v>
      </c>
      <c r="F79" s="26" t="s">
        <v>578</v>
      </c>
    </row>
    <row r="80" spans="1:6" x14ac:dyDescent="0.25">
      <c r="A80" s="26" t="s">
        <v>1108</v>
      </c>
      <c r="B80" s="77" t="s">
        <v>491</v>
      </c>
      <c r="C80" s="5">
        <v>19201800421</v>
      </c>
      <c r="D80" s="2">
        <v>3.36</v>
      </c>
      <c r="E80" s="225" t="s">
        <v>419</v>
      </c>
      <c r="F80" s="26" t="s">
        <v>579</v>
      </c>
    </row>
    <row r="81" spans="1:6" x14ac:dyDescent="0.25">
      <c r="A81" s="26" t="s">
        <v>1108</v>
      </c>
      <c r="B81" s="77" t="s">
        <v>745</v>
      </c>
      <c r="C81" s="5">
        <v>19201800415</v>
      </c>
      <c r="D81" s="2">
        <v>4.01</v>
      </c>
      <c r="E81" s="225" t="s">
        <v>419</v>
      </c>
      <c r="F81" s="26" t="s">
        <v>578</v>
      </c>
    </row>
    <row r="82" spans="1:6" ht="15.75" thickBot="1" x14ac:dyDescent="0.3">
      <c r="A82" s="222" t="s">
        <v>1108</v>
      </c>
      <c r="B82" s="84" t="s">
        <v>745</v>
      </c>
      <c r="C82" s="44">
        <v>19201800428</v>
      </c>
      <c r="D82" s="51">
        <v>3.25</v>
      </c>
      <c r="E82" s="260" t="s">
        <v>419</v>
      </c>
      <c r="F82" s="222" t="s">
        <v>579</v>
      </c>
    </row>
    <row r="83" spans="1:6" x14ac:dyDescent="0.25">
      <c r="A83" s="625" t="s">
        <v>1153</v>
      </c>
      <c r="B83" s="395" t="s">
        <v>488</v>
      </c>
      <c r="C83" s="86">
        <v>19201801031</v>
      </c>
      <c r="D83" s="625">
        <v>4.26</v>
      </c>
      <c r="E83" s="233" t="s">
        <v>419</v>
      </c>
      <c r="F83" s="625" t="s">
        <v>578</v>
      </c>
    </row>
    <row r="84" spans="1:6" x14ac:dyDescent="0.25">
      <c r="A84" s="26" t="s">
        <v>1153</v>
      </c>
      <c r="B84" s="77" t="s">
        <v>488</v>
      </c>
      <c r="C84" s="2">
        <v>19201801038</v>
      </c>
      <c r="D84" s="26">
        <v>4</v>
      </c>
      <c r="E84" s="225" t="s">
        <v>419</v>
      </c>
      <c r="F84" s="26" t="s">
        <v>579</v>
      </c>
    </row>
    <row r="85" spans="1:6" x14ac:dyDescent="0.25">
      <c r="A85" s="26" t="s">
        <v>1153</v>
      </c>
      <c r="B85" s="77" t="s">
        <v>488</v>
      </c>
      <c r="C85" s="2">
        <v>19201801039</v>
      </c>
      <c r="D85" s="26">
        <v>3.34</v>
      </c>
      <c r="E85" s="225" t="s">
        <v>419</v>
      </c>
      <c r="F85" s="26" t="s">
        <v>580</v>
      </c>
    </row>
    <row r="86" spans="1:6" x14ac:dyDescent="0.25">
      <c r="A86" s="26" t="s">
        <v>1153</v>
      </c>
      <c r="B86" s="77" t="s">
        <v>488</v>
      </c>
      <c r="C86" s="2">
        <v>19201801003</v>
      </c>
      <c r="D86" s="26">
        <v>3.29</v>
      </c>
      <c r="E86" s="225" t="s">
        <v>419</v>
      </c>
      <c r="F86" s="2" t="s">
        <v>581</v>
      </c>
    </row>
    <row r="87" spans="1:6" x14ac:dyDescent="0.25">
      <c r="A87" s="26" t="s">
        <v>1153</v>
      </c>
      <c r="B87" s="77" t="s">
        <v>488</v>
      </c>
      <c r="C87" s="2">
        <v>19201801027</v>
      </c>
      <c r="D87" s="26">
        <v>2.97</v>
      </c>
      <c r="E87" s="225" t="s">
        <v>419</v>
      </c>
      <c r="F87" s="2" t="s">
        <v>582</v>
      </c>
    </row>
    <row r="88" spans="1:6" x14ac:dyDescent="0.25">
      <c r="A88" s="26" t="s">
        <v>1153</v>
      </c>
      <c r="B88" s="77" t="s">
        <v>488</v>
      </c>
      <c r="C88" s="2">
        <v>19201801029</v>
      </c>
      <c r="D88" s="26">
        <v>2.4700000000000002</v>
      </c>
      <c r="E88" s="226" t="s">
        <v>420</v>
      </c>
      <c r="F88" s="2" t="s">
        <v>578</v>
      </c>
    </row>
    <row r="89" spans="1:6" x14ac:dyDescent="0.25">
      <c r="A89" s="26" t="s">
        <v>1153</v>
      </c>
      <c r="B89" s="77" t="s">
        <v>489</v>
      </c>
      <c r="C89" s="3">
        <v>19201800987</v>
      </c>
      <c r="D89" s="26">
        <v>4.2</v>
      </c>
      <c r="E89" s="225" t="s">
        <v>419</v>
      </c>
      <c r="F89" s="2" t="s">
        <v>578</v>
      </c>
    </row>
    <row r="90" spans="1:6" x14ac:dyDescent="0.25">
      <c r="A90" s="26" t="s">
        <v>1153</v>
      </c>
      <c r="B90" s="77" t="s">
        <v>489</v>
      </c>
      <c r="C90" s="2">
        <v>19201800953</v>
      </c>
      <c r="D90" s="26">
        <v>3.24</v>
      </c>
      <c r="E90" s="225" t="s">
        <v>419</v>
      </c>
      <c r="F90" s="2" t="s">
        <v>579</v>
      </c>
    </row>
    <row r="91" spans="1:6" x14ac:dyDescent="0.25">
      <c r="A91" s="26" t="s">
        <v>1153</v>
      </c>
      <c r="B91" s="77" t="s">
        <v>489</v>
      </c>
      <c r="C91" s="2">
        <v>19201800967</v>
      </c>
      <c r="D91" s="26">
        <v>3.02</v>
      </c>
      <c r="E91" s="225" t="s">
        <v>419</v>
      </c>
      <c r="F91" s="2" t="s">
        <v>580</v>
      </c>
    </row>
    <row r="92" spans="1:6" x14ac:dyDescent="0.25">
      <c r="A92" s="26" t="s">
        <v>1153</v>
      </c>
      <c r="B92" s="77" t="s">
        <v>489</v>
      </c>
      <c r="C92" s="2">
        <v>19201801034</v>
      </c>
      <c r="D92" s="2" t="s">
        <v>967</v>
      </c>
      <c r="E92" s="226" t="s">
        <v>420</v>
      </c>
      <c r="F92" s="2" t="s">
        <v>581</v>
      </c>
    </row>
    <row r="93" spans="1:6" x14ac:dyDescent="0.25">
      <c r="A93" s="26" t="s">
        <v>1153</v>
      </c>
      <c r="B93" s="77" t="s">
        <v>489</v>
      </c>
      <c r="C93" s="2">
        <v>19201801037</v>
      </c>
      <c r="D93" s="2" t="s">
        <v>967</v>
      </c>
      <c r="E93" s="226" t="s">
        <v>420</v>
      </c>
      <c r="F93" s="2" t="s">
        <v>582</v>
      </c>
    </row>
    <row r="94" spans="1:6" x14ac:dyDescent="0.25">
      <c r="A94" s="26" t="s">
        <v>1184</v>
      </c>
      <c r="B94" s="77" t="s">
        <v>488</v>
      </c>
      <c r="C94" s="649">
        <v>19201900256</v>
      </c>
      <c r="D94" s="26">
        <v>3.43</v>
      </c>
      <c r="E94" s="225" t="s">
        <v>419</v>
      </c>
      <c r="F94" s="26" t="s">
        <v>578</v>
      </c>
    </row>
    <row r="95" spans="1:6" s="647" customFormat="1" x14ac:dyDescent="0.25">
      <c r="A95" s="26" t="s">
        <v>1184</v>
      </c>
      <c r="B95" s="77" t="s">
        <v>488</v>
      </c>
      <c r="C95" s="649">
        <v>19201900322</v>
      </c>
      <c r="D95" s="2">
        <v>3.42</v>
      </c>
      <c r="E95" s="225" t="s">
        <v>419</v>
      </c>
      <c r="F95" s="26" t="s">
        <v>579</v>
      </c>
    </row>
    <row r="96" spans="1:6" x14ac:dyDescent="0.25">
      <c r="A96" s="26" t="s">
        <v>1184</v>
      </c>
      <c r="B96" s="77" t="s">
        <v>488</v>
      </c>
      <c r="C96" s="649">
        <v>19201900300</v>
      </c>
      <c r="D96" s="26">
        <v>3.23</v>
      </c>
      <c r="E96" s="225" t="s">
        <v>419</v>
      </c>
      <c r="F96" s="26" t="s">
        <v>580</v>
      </c>
    </row>
    <row r="97" spans="1:6" x14ac:dyDescent="0.25">
      <c r="A97" s="26" t="s">
        <v>1184</v>
      </c>
      <c r="B97" s="77" t="s">
        <v>488</v>
      </c>
      <c r="C97" s="649">
        <v>19201900385</v>
      </c>
      <c r="D97" s="2">
        <v>2.86</v>
      </c>
      <c r="E97" s="225" t="s">
        <v>419</v>
      </c>
      <c r="F97" s="26" t="s">
        <v>581</v>
      </c>
    </row>
    <row r="98" spans="1:6" x14ac:dyDescent="0.25">
      <c r="A98" s="26" t="s">
        <v>1184</v>
      </c>
      <c r="B98" s="77" t="s">
        <v>488</v>
      </c>
      <c r="C98" s="649">
        <v>19201900363</v>
      </c>
      <c r="D98" s="2">
        <v>2.5099999999999998</v>
      </c>
      <c r="E98" s="226" t="s">
        <v>420</v>
      </c>
      <c r="F98" s="26" t="s">
        <v>582</v>
      </c>
    </row>
    <row r="99" spans="1:6" x14ac:dyDescent="0.25">
      <c r="A99" s="26" t="s">
        <v>1184</v>
      </c>
      <c r="B99" s="77" t="s">
        <v>489</v>
      </c>
      <c r="C99" s="649">
        <v>19201900268</v>
      </c>
      <c r="D99" s="650">
        <v>3.95</v>
      </c>
      <c r="E99" s="225" t="s">
        <v>419</v>
      </c>
      <c r="F99" s="26" t="s">
        <v>578</v>
      </c>
    </row>
    <row r="100" spans="1:6" x14ac:dyDescent="0.25">
      <c r="A100" s="26" t="s">
        <v>1184</v>
      </c>
      <c r="B100" s="77" t="s">
        <v>489</v>
      </c>
      <c r="C100" s="649">
        <v>19201900240</v>
      </c>
      <c r="D100" s="650">
        <v>3.81</v>
      </c>
      <c r="E100" s="225" t="s">
        <v>419</v>
      </c>
      <c r="F100" s="2" t="s">
        <v>579</v>
      </c>
    </row>
    <row r="101" spans="1:6" x14ac:dyDescent="0.25">
      <c r="A101" s="26" t="s">
        <v>1184</v>
      </c>
      <c r="B101" s="77" t="s">
        <v>489</v>
      </c>
      <c r="C101" s="649">
        <v>19201900297</v>
      </c>
      <c r="D101" s="650">
        <v>3.61</v>
      </c>
      <c r="E101" s="225" t="s">
        <v>419</v>
      </c>
      <c r="F101" s="2" t="s">
        <v>580</v>
      </c>
    </row>
    <row r="102" spans="1:6" x14ac:dyDescent="0.25">
      <c r="A102" s="26" t="s">
        <v>1184</v>
      </c>
      <c r="B102" s="77" t="s">
        <v>489</v>
      </c>
      <c r="C102" s="649">
        <v>19201900379</v>
      </c>
      <c r="D102" s="650">
        <v>3.49</v>
      </c>
      <c r="E102" s="225" t="s">
        <v>419</v>
      </c>
      <c r="F102" s="2" t="s">
        <v>581</v>
      </c>
    </row>
    <row r="103" spans="1:6" x14ac:dyDescent="0.25">
      <c r="A103" s="26" t="s">
        <v>1184</v>
      </c>
      <c r="B103" s="77" t="s">
        <v>489</v>
      </c>
      <c r="C103" s="649">
        <v>19201900342</v>
      </c>
      <c r="D103" s="650">
        <v>3.38</v>
      </c>
      <c r="E103" s="225" t="s">
        <v>419</v>
      </c>
      <c r="F103" s="2" t="s">
        <v>582</v>
      </c>
    </row>
    <row r="104" spans="1:6" x14ac:dyDescent="0.25">
      <c r="A104" s="26" t="s">
        <v>1184</v>
      </c>
      <c r="B104" s="77" t="s">
        <v>489</v>
      </c>
      <c r="C104" s="649">
        <v>19201900329</v>
      </c>
      <c r="D104" s="650">
        <v>2.98</v>
      </c>
      <c r="E104" s="225" t="s">
        <v>419</v>
      </c>
      <c r="F104" s="2" t="s">
        <v>583</v>
      </c>
    </row>
    <row r="105" spans="1:6" x14ac:dyDescent="0.25">
      <c r="A105" s="26" t="s">
        <v>1184</v>
      </c>
      <c r="B105" s="77" t="s">
        <v>489</v>
      </c>
      <c r="C105" s="651">
        <v>19201900336</v>
      </c>
      <c r="D105" s="652"/>
      <c r="E105" s="226" t="s">
        <v>420</v>
      </c>
      <c r="F105" s="2" t="s">
        <v>584</v>
      </c>
    </row>
    <row r="106" spans="1:6" x14ac:dyDescent="0.25">
      <c r="A106" s="26" t="s">
        <v>1184</v>
      </c>
      <c r="B106" s="653" t="s">
        <v>490</v>
      </c>
      <c r="C106" s="654">
        <v>19201900237</v>
      </c>
      <c r="D106" s="652">
        <v>3.67</v>
      </c>
      <c r="E106" s="257" t="s">
        <v>419</v>
      </c>
      <c r="F106" s="655" t="s">
        <v>578</v>
      </c>
    </row>
    <row r="107" spans="1:6" x14ac:dyDescent="0.25">
      <c r="A107" s="26" t="s">
        <v>1184</v>
      </c>
      <c r="B107" s="653" t="s">
        <v>491</v>
      </c>
      <c r="C107" s="654">
        <v>19201900241</v>
      </c>
      <c r="D107" s="652">
        <v>2.61</v>
      </c>
      <c r="E107" s="257" t="s">
        <v>419</v>
      </c>
      <c r="F107" s="629" t="s">
        <v>578</v>
      </c>
    </row>
    <row r="108" spans="1:6" x14ac:dyDescent="0.25">
      <c r="A108" s="655" t="s">
        <v>1184</v>
      </c>
      <c r="B108" s="653" t="s">
        <v>745</v>
      </c>
      <c r="C108" s="654">
        <v>19201900305</v>
      </c>
      <c r="D108" s="656">
        <v>3.71</v>
      </c>
      <c r="E108" s="257" t="s">
        <v>419</v>
      </c>
      <c r="F108" s="629" t="s">
        <v>578</v>
      </c>
    </row>
    <row r="109" spans="1:6" x14ac:dyDescent="0.25">
      <c r="A109" s="655" t="s">
        <v>1184</v>
      </c>
      <c r="B109" s="653" t="s">
        <v>745</v>
      </c>
      <c r="C109" s="654">
        <v>19201900359</v>
      </c>
      <c r="D109" s="656">
        <v>3.65</v>
      </c>
      <c r="E109" s="257" t="s">
        <v>419</v>
      </c>
      <c r="F109" s="629" t="s">
        <v>579</v>
      </c>
    </row>
    <row r="110" spans="1:6" x14ac:dyDescent="0.25">
      <c r="A110" s="2" t="s">
        <v>1241</v>
      </c>
      <c r="B110" s="77" t="s">
        <v>488</v>
      </c>
      <c r="C110" s="11">
        <v>19202000390</v>
      </c>
      <c r="D110" s="2">
        <v>3.64</v>
      </c>
      <c r="E110" s="257" t="s">
        <v>419</v>
      </c>
      <c r="F110" s="2"/>
    </row>
    <row r="111" spans="1:6" x14ac:dyDescent="0.25">
      <c r="A111" s="2" t="s">
        <v>1241</v>
      </c>
      <c r="B111" s="77" t="s">
        <v>488</v>
      </c>
      <c r="C111" s="11">
        <v>19202000386</v>
      </c>
      <c r="D111" s="2">
        <v>3.35</v>
      </c>
      <c r="E111" s="257" t="s">
        <v>419</v>
      </c>
      <c r="F111" s="2"/>
    </row>
    <row r="112" spans="1:6" x14ac:dyDescent="0.25">
      <c r="A112" s="2" t="s">
        <v>1241</v>
      </c>
      <c r="B112" s="77" t="s">
        <v>488</v>
      </c>
      <c r="C112" s="11">
        <v>19202000387</v>
      </c>
      <c r="D112" s="2">
        <v>3.22</v>
      </c>
      <c r="E112" s="257" t="s">
        <v>419</v>
      </c>
      <c r="F112" s="2"/>
    </row>
    <row r="113" spans="1:6" x14ac:dyDescent="0.25">
      <c r="A113" s="2" t="s">
        <v>1241</v>
      </c>
      <c r="B113" s="77" t="s">
        <v>488</v>
      </c>
      <c r="C113" s="11">
        <v>19202000384</v>
      </c>
      <c r="D113" s="2">
        <v>3.15</v>
      </c>
      <c r="E113" s="257" t="s">
        <v>419</v>
      </c>
      <c r="F113" s="2"/>
    </row>
    <row r="114" spans="1:6" x14ac:dyDescent="0.25">
      <c r="A114" s="2" t="s">
        <v>1241</v>
      </c>
      <c r="B114" s="77" t="s">
        <v>488</v>
      </c>
      <c r="C114" s="11">
        <v>19202000360</v>
      </c>
      <c r="D114" s="2">
        <v>2.88</v>
      </c>
      <c r="E114" s="257" t="s">
        <v>419</v>
      </c>
      <c r="F114" s="2"/>
    </row>
    <row r="115" spans="1:6" x14ac:dyDescent="0.25">
      <c r="A115" s="2" t="s">
        <v>1241</v>
      </c>
      <c r="B115" s="77" t="s">
        <v>488</v>
      </c>
      <c r="C115" s="11">
        <v>19202000382</v>
      </c>
      <c r="D115" s="2">
        <v>2.84</v>
      </c>
      <c r="E115" s="257" t="s">
        <v>419</v>
      </c>
      <c r="F115" s="2"/>
    </row>
    <row r="116" spans="1:6" x14ac:dyDescent="0.25">
      <c r="A116" s="2" t="s">
        <v>1241</v>
      </c>
      <c r="B116" s="77" t="s">
        <v>488</v>
      </c>
      <c r="C116" s="11">
        <v>19202000395</v>
      </c>
      <c r="D116" s="2">
        <v>2.81</v>
      </c>
      <c r="E116" s="226" t="s">
        <v>420</v>
      </c>
      <c r="F116" s="2"/>
    </row>
    <row r="117" spans="1:6" x14ac:dyDescent="0.25">
      <c r="A117" s="2" t="s">
        <v>1241</v>
      </c>
      <c r="B117" s="77" t="s">
        <v>489</v>
      </c>
      <c r="C117" s="11">
        <v>19202000379</v>
      </c>
      <c r="D117" s="2">
        <v>3.5</v>
      </c>
      <c r="E117" s="257" t="s">
        <v>419</v>
      </c>
      <c r="F117" s="2"/>
    </row>
    <row r="118" spans="1:6" x14ac:dyDescent="0.25">
      <c r="A118" s="2" t="s">
        <v>1241</v>
      </c>
      <c r="B118" s="77" t="s">
        <v>489</v>
      </c>
      <c r="C118" s="11">
        <v>19202000391</v>
      </c>
      <c r="D118" s="2">
        <v>3.01</v>
      </c>
      <c r="E118" s="257" t="s">
        <v>419</v>
      </c>
      <c r="F118" s="2"/>
    </row>
    <row r="119" spans="1:6" x14ac:dyDescent="0.25">
      <c r="A119" s="2" t="s">
        <v>1241</v>
      </c>
      <c r="B119" s="77" t="s">
        <v>489</v>
      </c>
      <c r="C119" s="11">
        <v>19202000388</v>
      </c>
      <c r="D119" s="2">
        <v>2.76</v>
      </c>
      <c r="E119" s="257" t="s">
        <v>419</v>
      </c>
      <c r="F119" s="2"/>
    </row>
    <row r="120" spans="1:6" x14ac:dyDescent="0.25">
      <c r="A120" s="2" t="s">
        <v>1241</v>
      </c>
      <c r="B120" s="653" t="s">
        <v>490</v>
      </c>
      <c r="C120" s="11">
        <v>19202000389</v>
      </c>
      <c r="D120" s="2">
        <v>3.86</v>
      </c>
      <c r="E120" s="257" t="s">
        <v>419</v>
      </c>
      <c r="F120" s="2"/>
    </row>
    <row r="121" spans="1:6" x14ac:dyDescent="0.25">
      <c r="A121" s="2" t="s">
        <v>1241</v>
      </c>
      <c r="B121" s="653" t="s">
        <v>490</v>
      </c>
      <c r="C121" s="11">
        <v>19202000378</v>
      </c>
      <c r="D121" s="2">
        <v>3.51</v>
      </c>
      <c r="E121" s="257" t="s">
        <v>419</v>
      </c>
      <c r="F121" s="2"/>
    </row>
    <row r="122" spans="1:6" x14ac:dyDescent="0.25">
      <c r="A122" s="2" t="s">
        <v>1241</v>
      </c>
      <c r="B122" s="653" t="s">
        <v>491</v>
      </c>
      <c r="C122" s="11">
        <v>19202000396</v>
      </c>
      <c r="D122" s="2">
        <v>2.79</v>
      </c>
      <c r="E122" s="257" t="s">
        <v>419</v>
      </c>
      <c r="F122" s="2"/>
    </row>
    <row r="123" spans="1:6" x14ac:dyDescent="0.25">
      <c r="A123" s="2" t="s">
        <v>1241</v>
      </c>
      <c r="B123" s="653" t="s">
        <v>491</v>
      </c>
      <c r="C123" s="11">
        <v>19202000393</v>
      </c>
      <c r="D123" s="2">
        <v>2.42</v>
      </c>
      <c r="E123" s="226" t="s">
        <v>420</v>
      </c>
      <c r="F123" s="2"/>
    </row>
    <row r="124" spans="1:6" x14ac:dyDescent="0.25">
      <c r="A124" s="2" t="s">
        <v>1241</v>
      </c>
      <c r="B124" s="653" t="s">
        <v>745</v>
      </c>
      <c r="C124" s="11">
        <v>19202000392</v>
      </c>
      <c r="D124" s="2">
        <v>2.97</v>
      </c>
      <c r="E124" s="257" t="s">
        <v>419</v>
      </c>
      <c r="F124" s="2"/>
    </row>
    <row r="125" spans="1:6" x14ac:dyDescent="0.25">
      <c r="A125" s="2" t="s">
        <v>1256</v>
      </c>
      <c r="B125" s="77" t="s">
        <v>488</v>
      </c>
      <c r="C125" s="2">
        <v>19202000603</v>
      </c>
      <c r="D125" s="2">
        <v>3.56</v>
      </c>
      <c r="E125" s="257" t="s">
        <v>419</v>
      </c>
      <c r="F125" s="2"/>
    </row>
    <row r="126" spans="1:6" x14ac:dyDescent="0.25">
      <c r="A126" s="2" t="s">
        <v>1256</v>
      </c>
      <c r="B126" s="77" t="s">
        <v>488</v>
      </c>
      <c r="C126" s="2">
        <v>19202000610</v>
      </c>
      <c r="D126" s="2">
        <v>3.47</v>
      </c>
      <c r="E126" s="257" t="s">
        <v>419</v>
      </c>
      <c r="F126" s="2"/>
    </row>
    <row r="127" spans="1:6" x14ac:dyDescent="0.25">
      <c r="A127" s="2" t="s">
        <v>1256</v>
      </c>
      <c r="B127" s="77" t="s">
        <v>488</v>
      </c>
      <c r="C127" s="2">
        <v>19202000600</v>
      </c>
      <c r="D127" s="2">
        <v>3.42</v>
      </c>
      <c r="E127" s="257" t="s">
        <v>419</v>
      </c>
      <c r="F127" s="2"/>
    </row>
    <row r="128" spans="1:6" x14ac:dyDescent="0.25">
      <c r="A128" s="2" t="s">
        <v>1256</v>
      </c>
      <c r="B128" s="77" t="s">
        <v>488</v>
      </c>
      <c r="C128" s="2">
        <v>19202000608</v>
      </c>
      <c r="D128" s="2">
        <v>3.3</v>
      </c>
      <c r="E128" s="257" t="s">
        <v>419</v>
      </c>
      <c r="F128" s="2"/>
    </row>
    <row r="129" spans="1:6" x14ac:dyDescent="0.25">
      <c r="A129" s="2" t="s">
        <v>1256</v>
      </c>
      <c r="B129" s="77" t="s">
        <v>488</v>
      </c>
      <c r="C129" s="2">
        <v>19202000627</v>
      </c>
      <c r="D129" s="2">
        <v>3.24</v>
      </c>
      <c r="E129" s="257" t="s">
        <v>419</v>
      </c>
      <c r="F129" s="2"/>
    </row>
    <row r="130" spans="1:6" x14ac:dyDescent="0.25">
      <c r="A130" s="2" t="s">
        <v>1256</v>
      </c>
      <c r="B130" s="77" t="s">
        <v>488</v>
      </c>
      <c r="C130" s="2">
        <v>19202000615</v>
      </c>
      <c r="D130" s="2">
        <v>3.23</v>
      </c>
      <c r="E130" s="226" t="s">
        <v>420</v>
      </c>
      <c r="F130" s="2"/>
    </row>
    <row r="131" spans="1:6" x14ac:dyDescent="0.25">
      <c r="A131" s="2" t="s">
        <v>1256</v>
      </c>
      <c r="B131" s="77" t="s">
        <v>488</v>
      </c>
      <c r="C131" s="2">
        <v>19202000619</v>
      </c>
      <c r="D131" s="2">
        <v>2.39</v>
      </c>
      <c r="E131" s="226" t="s">
        <v>420</v>
      </c>
      <c r="F131" s="2"/>
    </row>
    <row r="132" spans="1:6" x14ac:dyDescent="0.25">
      <c r="A132" s="2" t="s">
        <v>1256</v>
      </c>
      <c r="B132" s="77" t="s">
        <v>488</v>
      </c>
      <c r="C132" s="2">
        <v>19202000609</v>
      </c>
      <c r="D132" s="2">
        <v>2.34</v>
      </c>
      <c r="E132" s="226" t="s">
        <v>420</v>
      </c>
      <c r="F132" s="2"/>
    </row>
    <row r="133" spans="1:6" x14ac:dyDescent="0.25">
      <c r="A133" s="2" t="s">
        <v>1256</v>
      </c>
      <c r="B133" s="77" t="s">
        <v>488</v>
      </c>
      <c r="C133" s="2">
        <v>19202000612</v>
      </c>
      <c r="D133" s="2">
        <v>2.0099999999999998</v>
      </c>
      <c r="E133" s="226" t="s">
        <v>420</v>
      </c>
      <c r="F133" s="2"/>
    </row>
    <row r="134" spans="1:6" x14ac:dyDescent="0.25">
      <c r="A134" s="2" t="s">
        <v>1256</v>
      </c>
      <c r="B134" s="77" t="s">
        <v>488</v>
      </c>
      <c r="C134" s="2">
        <v>19202000616</v>
      </c>
      <c r="D134" s="2">
        <v>1.98</v>
      </c>
      <c r="E134" s="226" t="s">
        <v>420</v>
      </c>
      <c r="F134" s="2"/>
    </row>
    <row r="135" spans="1:6" x14ac:dyDescent="0.25">
      <c r="A135" s="2" t="s">
        <v>1256</v>
      </c>
      <c r="B135" s="77" t="s">
        <v>489</v>
      </c>
      <c r="C135" s="2">
        <v>19202000607</v>
      </c>
      <c r="D135" s="2">
        <v>3.45</v>
      </c>
      <c r="E135" s="257" t="s">
        <v>419</v>
      </c>
      <c r="F135" s="2"/>
    </row>
    <row r="136" spans="1:6" x14ac:dyDescent="0.25">
      <c r="A136" s="2" t="s">
        <v>1256</v>
      </c>
      <c r="B136" s="77" t="s">
        <v>489</v>
      </c>
      <c r="C136" s="2">
        <v>19202000614</v>
      </c>
      <c r="D136" s="2">
        <v>3.45</v>
      </c>
      <c r="E136" s="257" t="s">
        <v>419</v>
      </c>
      <c r="F136" s="2"/>
    </row>
    <row r="137" spans="1:6" x14ac:dyDescent="0.25">
      <c r="A137" s="2" t="s">
        <v>1256</v>
      </c>
      <c r="B137" s="77" t="s">
        <v>489</v>
      </c>
      <c r="C137" s="2">
        <v>19202000606</v>
      </c>
      <c r="D137" s="2">
        <v>3.28</v>
      </c>
      <c r="E137" s="257" t="s">
        <v>419</v>
      </c>
      <c r="F137" s="2"/>
    </row>
    <row r="138" spans="1:6" x14ac:dyDescent="0.25">
      <c r="A138" s="2" t="s">
        <v>1256</v>
      </c>
      <c r="B138" s="77" t="s">
        <v>489</v>
      </c>
      <c r="C138" s="2">
        <v>19202000620</v>
      </c>
      <c r="D138" s="2">
        <v>1.87</v>
      </c>
      <c r="E138" s="226" t="s">
        <v>420</v>
      </c>
      <c r="F138" s="2"/>
    </row>
    <row r="139" spans="1:6" x14ac:dyDescent="0.25">
      <c r="A139" s="2" t="s">
        <v>1309</v>
      </c>
      <c r="B139" s="2" t="s">
        <v>1310</v>
      </c>
      <c r="C139" s="2">
        <v>19202100316</v>
      </c>
      <c r="D139" s="2">
        <v>3.58</v>
      </c>
      <c r="E139" s="257" t="s">
        <v>419</v>
      </c>
      <c r="F139" s="2"/>
    </row>
    <row r="140" spans="1:6" x14ac:dyDescent="0.25">
      <c r="A140" s="2" t="s">
        <v>1309</v>
      </c>
      <c r="B140" s="2" t="s">
        <v>1310</v>
      </c>
      <c r="C140" s="2">
        <v>19202100334</v>
      </c>
      <c r="D140" s="2">
        <v>3.5</v>
      </c>
      <c r="E140" s="257" t="s">
        <v>419</v>
      </c>
      <c r="F140" s="2"/>
    </row>
    <row r="141" spans="1:6" x14ac:dyDescent="0.25">
      <c r="A141" s="2" t="s">
        <v>1309</v>
      </c>
      <c r="B141" s="2" t="s">
        <v>1310</v>
      </c>
      <c r="C141" s="2">
        <v>19202100337</v>
      </c>
      <c r="D141" s="2">
        <v>3.36</v>
      </c>
      <c r="E141" s="257" t="s">
        <v>419</v>
      </c>
      <c r="F141" s="2"/>
    </row>
    <row r="142" spans="1:6" x14ac:dyDescent="0.25">
      <c r="A142" s="2" t="s">
        <v>1309</v>
      </c>
      <c r="B142" s="2" t="s">
        <v>1310</v>
      </c>
      <c r="C142" s="2">
        <v>19202100322</v>
      </c>
      <c r="D142" s="2">
        <v>3.3</v>
      </c>
      <c r="E142" s="257" t="s">
        <v>419</v>
      </c>
      <c r="F142" s="2"/>
    </row>
    <row r="143" spans="1:6" x14ac:dyDescent="0.25">
      <c r="A143" s="2" t="s">
        <v>1309</v>
      </c>
      <c r="B143" s="2" t="s">
        <v>1310</v>
      </c>
      <c r="C143" s="2">
        <v>19202100336</v>
      </c>
      <c r="D143" s="2">
        <v>3.25</v>
      </c>
      <c r="E143" s="257" t="s">
        <v>419</v>
      </c>
      <c r="F143" s="2"/>
    </row>
    <row r="144" spans="1:6" x14ac:dyDescent="0.25">
      <c r="A144" s="2" t="s">
        <v>1309</v>
      </c>
      <c r="B144" s="2" t="s">
        <v>1310</v>
      </c>
      <c r="C144" s="2">
        <v>19202100319</v>
      </c>
      <c r="D144" s="2">
        <v>2.93</v>
      </c>
      <c r="E144" s="257" t="s">
        <v>419</v>
      </c>
      <c r="F144" s="2"/>
    </row>
    <row r="145" spans="1:6" x14ac:dyDescent="0.25">
      <c r="A145" s="2" t="s">
        <v>1309</v>
      </c>
      <c r="B145" s="2" t="s">
        <v>1310</v>
      </c>
      <c r="C145" s="2">
        <v>19202100320</v>
      </c>
      <c r="D145" s="2">
        <v>2.93</v>
      </c>
      <c r="E145" s="257" t="s">
        <v>419</v>
      </c>
      <c r="F145" s="2"/>
    </row>
    <row r="146" spans="1:6" x14ac:dyDescent="0.25">
      <c r="A146" s="2" t="s">
        <v>1309</v>
      </c>
      <c r="B146" s="2" t="s">
        <v>1310</v>
      </c>
      <c r="C146" s="2">
        <v>19202100328</v>
      </c>
      <c r="D146" s="2">
        <v>2.72</v>
      </c>
      <c r="E146" s="257" t="s">
        <v>419</v>
      </c>
      <c r="F146" s="2"/>
    </row>
    <row r="147" spans="1:6" x14ac:dyDescent="0.25">
      <c r="A147" s="2" t="s">
        <v>1309</v>
      </c>
      <c r="B147" s="2" t="s">
        <v>490</v>
      </c>
      <c r="C147" s="2">
        <v>19202100330</v>
      </c>
      <c r="D147" s="2">
        <v>3.86</v>
      </c>
      <c r="E147" s="257" t="s">
        <v>419</v>
      </c>
      <c r="F147" s="2"/>
    </row>
    <row r="148" spans="1:6" x14ac:dyDescent="0.25">
      <c r="A148" s="2" t="s">
        <v>1309</v>
      </c>
      <c r="B148" s="2" t="s">
        <v>1311</v>
      </c>
      <c r="C148" s="2">
        <v>19202100323</v>
      </c>
      <c r="D148" s="2">
        <v>3.94</v>
      </c>
      <c r="E148" s="257" t="s">
        <v>419</v>
      </c>
      <c r="F148" s="2"/>
    </row>
    <row r="149" spans="1:6" x14ac:dyDescent="0.25">
      <c r="A149" s="2" t="s">
        <v>1309</v>
      </c>
      <c r="B149" s="2" t="s">
        <v>1311</v>
      </c>
      <c r="C149" s="2">
        <v>19202100331</v>
      </c>
      <c r="D149" s="2">
        <v>3.75</v>
      </c>
      <c r="E149" s="257" t="s">
        <v>419</v>
      </c>
      <c r="F149" s="2"/>
    </row>
    <row r="150" spans="1:6" x14ac:dyDescent="0.25">
      <c r="A150" s="2" t="s">
        <v>1309</v>
      </c>
      <c r="B150" s="2" t="s">
        <v>1311</v>
      </c>
      <c r="C150" s="2">
        <v>19202100326</v>
      </c>
      <c r="D150" s="2">
        <v>3.68</v>
      </c>
      <c r="E150" s="257" t="s">
        <v>419</v>
      </c>
      <c r="F150" s="2"/>
    </row>
    <row r="151" spans="1:6" x14ac:dyDescent="0.25">
      <c r="A151" s="2" t="s">
        <v>1309</v>
      </c>
      <c r="B151" s="2" t="s">
        <v>1311</v>
      </c>
      <c r="C151" s="2">
        <v>19202100318</v>
      </c>
      <c r="D151" s="2">
        <v>3.63</v>
      </c>
      <c r="E151" s="257" t="s">
        <v>419</v>
      </c>
      <c r="F151" s="2"/>
    </row>
    <row r="152" spans="1:6" x14ac:dyDescent="0.25">
      <c r="A152" s="2" t="s">
        <v>1309</v>
      </c>
      <c r="B152" s="2" t="s">
        <v>1311</v>
      </c>
      <c r="C152" s="2">
        <v>19202100325</v>
      </c>
      <c r="D152" s="2">
        <v>3.53</v>
      </c>
      <c r="E152" s="257" t="s">
        <v>419</v>
      </c>
      <c r="F152" s="2"/>
    </row>
    <row r="153" spans="1:6" x14ac:dyDescent="0.25">
      <c r="A153" s="2" t="s">
        <v>1309</v>
      </c>
      <c r="B153" s="2" t="s">
        <v>1311</v>
      </c>
      <c r="C153" s="2">
        <v>19202100332</v>
      </c>
      <c r="D153" s="2">
        <v>3.42</v>
      </c>
      <c r="E153" s="257" t="s">
        <v>419</v>
      </c>
      <c r="F153" s="2"/>
    </row>
    <row r="154" spans="1:6" x14ac:dyDescent="0.25">
      <c r="A154" s="2" t="s">
        <v>1309</v>
      </c>
      <c r="B154" s="2" t="s">
        <v>1311</v>
      </c>
      <c r="C154" s="2">
        <v>19202100329</v>
      </c>
      <c r="D154" s="2">
        <v>3.4</v>
      </c>
      <c r="E154" s="257" t="s">
        <v>419</v>
      </c>
      <c r="F154" s="2"/>
    </row>
    <row r="155" spans="1:6" x14ac:dyDescent="0.25">
      <c r="A155" s="2" t="s">
        <v>1309</v>
      </c>
      <c r="B155" s="2" t="s">
        <v>1311</v>
      </c>
      <c r="C155" s="2">
        <v>19202100333</v>
      </c>
      <c r="D155" s="2">
        <v>3.29</v>
      </c>
      <c r="E155" s="257" t="s">
        <v>419</v>
      </c>
      <c r="F155" s="2"/>
    </row>
    <row r="156" spans="1:6" x14ac:dyDescent="0.25">
      <c r="A156" s="2" t="s">
        <v>1309</v>
      </c>
      <c r="B156" s="2" t="s">
        <v>1311</v>
      </c>
      <c r="C156" s="2">
        <v>19202100317</v>
      </c>
      <c r="D156" s="2">
        <v>3.17</v>
      </c>
      <c r="E156" s="257" t="s">
        <v>419</v>
      </c>
      <c r="F156" s="2"/>
    </row>
    <row r="157" spans="1:6" x14ac:dyDescent="0.25">
      <c r="A157" s="2" t="s">
        <v>1309</v>
      </c>
      <c r="B157" s="2" t="s">
        <v>1311</v>
      </c>
      <c r="C157" s="2">
        <v>19202100327</v>
      </c>
      <c r="D157" s="2">
        <v>2.74</v>
      </c>
      <c r="E157" s="257" t="s">
        <v>419</v>
      </c>
      <c r="F157" s="2"/>
    </row>
    <row r="158" spans="1:6" x14ac:dyDescent="0.25">
      <c r="A158" s="2" t="s">
        <v>1309</v>
      </c>
      <c r="B158" s="2" t="s">
        <v>1311</v>
      </c>
      <c r="C158" s="2">
        <v>19202100335</v>
      </c>
      <c r="D158" s="2">
        <v>2.72</v>
      </c>
      <c r="E158" s="257" t="s">
        <v>419</v>
      </c>
      <c r="F158" s="2"/>
    </row>
    <row r="159" spans="1:6" x14ac:dyDescent="0.25">
      <c r="A159" s="2" t="s">
        <v>1309</v>
      </c>
      <c r="B159" s="2" t="s">
        <v>1311</v>
      </c>
      <c r="C159" s="2">
        <v>19202100324</v>
      </c>
      <c r="D159" s="2">
        <v>2.57</v>
      </c>
      <c r="E159" s="257" t="s">
        <v>419</v>
      </c>
      <c r="F159" s="2"/>
    </row>
    <row r="160" spans="1:6" x14ac:dyDescent="0.25">
      <c r="A160" t="s">
        <v>1436</v>
      </c>
      <c r="B160" t="s">
        <v>1435</v>
      </c>
      <c r="C160" s="829">
        <v>19202101486</v>
      </c>
      <c r="D160" s="829">
        <v>3.88</v>
      </c>
      <c r="E160" s="257" t="s">
        <v>419</v>
      </c>
    </row>
    <row r="161" spans="1:5" x14ac:dyDescent="0.25">
      <c r="A161" s="829" t="s">
        <v>1436</v>
      </c>
      <c r="B161" s="829" t="s">
        <v>1435</v>
      </c>
      <c r="C161" s="829">
        <v>19202101490</v>
      </c>
      <c r="D161" s="829">
        <v>3.66</v>
      </c>
      <c r="E161" s="257" t="s">
        <v>419</v>
      </c>
    </row>
    <row r="162" spans="1:5" x14ac:dyDescent="0.25">
      <c r="A162" s="829" t="s">
        <v>1436</v>
      </c>
      <c r="B162" s="829" t="s">
        <v>1435</v>
      </c>
      <c r="C162" s="829">
        <v>19202101474</v>
      </c>
      <c r="D162" s="829">
        <v>3.65</v>
      </c>
      <c r="E162" s="257" t="s">
        <v>419</v>
      </c>
    </row>
    <row r="163" spans="1:5" x14ac:dyDescent="0.25">
      <c r="A163" s="829" t="s">
        <v>1436</v>
      </c>
      <c r="B163" s="829" t="s">
        <v>1435</v>
      </c>
      <c r="C163" s="829">
        <v>19202101481</v>
      </c>
      <c r="D163" s="829">
        <v>3.59</v>
      </c>
      <c r="E163" s="257" t="s">
        <v>419</v>
      </c>
    </row>
    <row r="164" spans="1:5" x14ac:dyDescent="0.25">
      <c r="A164" s="829" t="s">
        <v>1436</v>
      </c>
      <c r="B164" s="829" t="s">
        <v>1435</v>
      </c>
      <c r="C164" s="829">
        <v>19202101479</v>
      </c>
      <c r="D164" s="829">
        <v>3.41</v>
      </c>
      <c r="E164" s="257" t="s">
        <v>419</v>
      </c>
    </row>
    <row r="165" spans="1:5" x14ac:dyDescent="0.25">
      <c r="A165" s="829" t="s">
        <v>1436</v>
      </c>
      <c r="B165" s="829" t="s">
        <v>1435</v>
      </c>
      <c r="C165" s="829">
        <v>19202101487</v>
      </c>
      <c r="D165" s="829">
        <v>3.23</v>
      </c>
      <c r="E165" s="257" t="s">
        <v>419</v>
      </c>
    </row>
    <row r="166" spans="1:5" x14ac:dyDescent="0.25">
      <c r="A166" s="829" t="s">
        <v>1436</v>
      </c>
      <c r="B166" s="829" t="s">
        <v>1435</v>
      </c>
      <c r="C166" s="829">
        <v>19202101419</v>
      </c>
      <c r="D166" s="829">
        <v>3.09</v>
      </c>
      <c r="E166" s="257" t="s">
        <v>419</v>
      </c>
    </row>
    <row r="167" spans="1:5" x14ac:dyDescent="0.25">
      <c r="A167" s="829" t="s">
        <v>1436</v>
      </c>
      <c r="B167" s="829" t="s">
        <v>1435</v>
      </c>
      <c r="C167" s="829">
        <v>19202101484</v>
      </c>
      <c r="D167" s="829">
        <v>2.23</v>
      </c>
      <c r="E167" s="226" t="s">
        <v>420</v>
      </c>
    </row>
    <row r="168" spans="1:5" x14ac:dyDescent="0.25">
      <c r="A168" s="829" t="s">
        <v>1436</v>
      </c>
      <c r="B168" t="s">
        <v>1437</v>
      </c>
      <c r="C168" s="829">
        <v>19202101488</v>
      </c>
      <c r="D168" s="829">
        <v>3.94</v>
      </c>
      <c r="E168" s="257" t="s">
        <v>419</v>
      </c>
    </row>
    <row r="169" spans="1:5" x14ac:dyDescent="0.25">
      <c r="A169" s="829" t="s">
        <v>1436</v>
      </c>
      <c r="B169" s="829" t="s">
        <v>1437</v>
      </c>
      <c r="C169" s="829">
        <v>19202101485</v>
      </c>
      <c r="D169" s="829">
        <v>3.79</v>
      </c>
      <c r="E169" s="257" t="s">
        <v>419</v>
      </c>
    </row>
    <row r="170" spans="1:5" x14ac:dyDescent="0.25">
      <c r="A170" s="829" t="s">
        <v>1436</v>
      </c>
      <c r="B170" s="829" t="s">
        <v>1437</v>
      </c>
      <c r="C170" s="829">
        <v>19202101489</v>
      </c>
      <c r="D170" s="829">
        <v>3.79</v>
      </c>
      <c r="E170" s="257" t="s">
        <v>419</v>
      </c>
    </row>
    <row r="171" spans="1:5" x14ac:dyDescent="0.25">
      <c r="A171" s="829" t="s">
        <v>1436</v>
      </c>
      <c r="B171" s="829" t="s">
        <v>1437</v>
      </c>
      <c r="C171" s="829">
        <v>19202101468</v>
      </c>
      <c r="D171" s="829">
        <v>3.46</v>
      </c>
      <c r="E171" s="257" t="s">
        <v>419</v>
      </c>
    </row>
    <row r="172" spans="1:5" x14ac:dyDescent="0.25">
      <c r="A172" s="829" t="s">
        <v>1436</v>
      </c>
      <c r="B172" s="829" t="s">
        <v>1437</v>
      </c>
      <c r="C172" s="829">
        <v>19202101477</v>
      </c>
      <c r="D172" s="829">
        <v>3.44</v>
      </c>
      <c r="E172" s="257" t="s">
        <v>419</v>
      </c>
    </row>
    <row r="173" spans="1:5" x14ac:dyDescent="0.25">
      <c r="A173" s="829" t="s">
        <v>1436</v>
      </c>
      <c r="B173" s="829" t="s">
        <v>1437</v>
      </c>
      <c r="C173" s="829">
        <v>19202101491</v>
      </c>
      <c r="D173" s="829">
        <v>3.29</v>
      </c>
      <c r="E173" s="257" t="s">
        <v>419</v>
      </c>
    </row>
    <row r="174" spans="1:5" x14ac:dyDescent="0.25">
      <c r="A174" s="829" t="s">
        <v>1436</v>
      </c>
      <c r="B174" t="s">
        <v>1438</v>
      </c>
      <c r="C174" s="829">
        <v>19202101475</v>
      </c>
      <c r="D174" s="829">
        <v>4.1399999999999997</v>
      </c>
      <c r="E174" s="257" t="s">
        <v>419</v>
      </c>
    </row>
    <row r="175" spans="1:5" x14ac:dyDescent="0.25">
      <c r="A175" s="829" t="s">
        <v>1436</v>
      </c>
      <c r="B175" s="829" t="s">
        <v>1438</v>
      </c>
      <c r="C175" s="829">
        <v>19202101454</v>
      </c>
      <c r="D175" s="829">
        <v>4.01</v>
      </c>
      <c r="E175" s="257" t="s">
        <v>419</v>
      </c>
    </row>
    <row r="176" spans="1:5" x14ac:dyDescent="0.25">
      <c r="A176" s="829" t="s">
        <v>1436</v>
      </c>
      <c r="B176" s="829" t="s">
        <v>1438</v>
      </c>
      <c r="C176" s="829">
        <v>19202101476</v>
      </c>
      <c r="D176" s="829">
        <v>3.66</v>
      </c>
      <c r="E176" s="257" t="s">
        <v>419</v>
      </c>
    </row>
    <row r="177" spans="1:7" x14ac:dyDescent="0.25">
      <c r="A177" s="829" t="s">
        <v>1436</v>
      </c>
      <c r="B177" s="829" t="s">
        <v>1438</v>
      </c>
      <c r="C177" s="829">
        <v>19202101492</v>
      </c>
      <c r="D177" s="829">
        <v>3.47</v>
      </c>
      <c r="E177" s="257" t="s">
        <v>419</v>
      </c>
    </row>
    <row r="178" spans="1:7" x14ac:dyDescent="0.25">
      <c r="A178" s="829" t="s">
        <v>1436</v>
      </c>
      <c r="B178" s="829" t="s">
        <v>1438</v>
      </c>
      <c r="C178" s="829">
        <v>19202101464</v>
      </c>
      <c r="D178" s="829">
        <v>3.34</v>
      </c>
      <c r="E178" s="846" t="s">
        <v>419</v>
      </c>
    </row>
    <row r="179" spans="1:7" x14ac:dyDescent="0.25">
      <c r="A179" s="843" t="s">
        <v>1504</v>
      </c>
      <c r="B179" s="843" t="s">
        <v>1437</v>
      </c>
      <c r="C179" s="843">
        <v>19202200021</v>
      </c>
      <c r="D179" s="843">
        <v>3.843</v>
      </c>
      <c r="E179" s="257" t="s">
        <v>419</v>
      </c>
    </row>
    <row r="180" spans="1:7" x14ac:dyDescent="0.25">
      <c r="A180" s="843" t="s">
        <v>1504</v>
      </c>
      <c r="B180" s="843" t="s">
        <v>1437</v>
      </c>
      <c r="C180" s="843">
        <v>19202200005</v>
      </c>
      <c r="D180" s="843">
        <v>3.694</v>
      </c>
      <c r="E180" s="257" t="s">
        <v>419</v>
      </c>
    </row>
    <row r="181" spans="1:7" x14ac:dyDescent="0.25">
      <c r="A181" s="843" t="s">
        <v>1504</v>
      </c>
      <c r="B181" s="843" t="s">
        <v>1437</v>
      </c>
      <c r="C181" s="843">
        <v>19202200018</v>
      </c>
      <c r="D181" s="843">
        <v>3.6269999999999998</v>
      </c>
      <c r="E181" s="257" t="s">
        <v>419</v>
      </c>
    </row>
    <row r="182" spans="1:7" x14ac:dyDescent="0.25">
      <c r="A182" s="843" t="s">
        <v>1504</v>
      </c>
      <c r="B182" s="843" t="s">
        <v>1437</v>
      </c>
      <c r="C182" s="843">
        <v>19202200012</v>
      </c>
      <c r="D182" s="843">
        <v>3.5059999999999998</v>
      </c>
      <c r="E182" s="257" t="s">
        <v>419</v>
      </c>
    </row>
    <row r="183" spans="1:7" x14ac:dyDescent="0.25">
      <c r="A183" s="843" t="s">
        <v>1504</v>
      </c>
      <c r="B183" s="843" t="s">
        <v>1437</v>
      </c>
      <c r="C183" s="843">
        <v>19202200004</v>
      </c>
      <c r="D183" s="843">
        <v>3.4769999999999999</v>
      </c>
      <c r="E183" s="257" t="s">
        <v>419</v>
      </c>
    </row>
    <row r="184" spans="1:7" x14ac:dyDescent="0.25">
      <c r="A184" s="843" t="s">
        <v>1504</v>
      </c>
      <c r="B184" s="843" t="s">
        <v>1437</v>
      </c>
      <c r="C184" s="843">
        <v>19202200006</v>
      </c>
      <c r="D184" s="843">
        <v>3.3279999999999998</v>
      </c>
      <c r="E184" s="257" t="s">
        <v>419</v>
      </c>
    </row>
    <row r="185" spans="1:7" x14ac:dyDescent="0.25">
      <c r="A185" s="843" t="s">
        <v>1504</v>
      </c>
      <c r="B185" s="843" t="s">
        <v>1437</v>
      </c>
      <c r="C185" s="843">
        <v>19202200016</v>
      </c>
      <c r="D185" s="843">
        <v>3.0539999999999998</v>
      </c>
      <c r="E185" s="257" t="s">
        <v>419</v>
      </c>
    </row>
    <row r="186" spans="1:7" x14ac:dyDescent="0.25">
      <c r="A186" s="843" t="s">
        <v>1504</v>
      </c>
      <c r="B186" s="843" t="s">
        <v>1438</v>
      </c>
      <c r="C186" s="843">
        <v>19202200023</v>
      </c>
      <c r="D186" s="843">
        <v>3.7530000000000001</v>
      </c>
      <c r="E186" s="257" t="s">
        <v>419</v>
      </c>
    </row>
    <row r="187" spans="1:7" x14ac:dyDescent="0.25">
      <c r="A187" s="843" t="s">
        <v>1504</v>
      </c>
      <c r="B187" s="843" t="s">
        <v>1438</v>
      </c>
      <c r="C187" s="843">
        <v>19202200022</v>
      </c>
      <c r="D187" s="843">
        <v>3.6760000000000002</v>
      </c>
      <c r="E187" s="257" t="s">
        <v>419</v>
      </c>
    </row>
    <row r="188" spans="1:7" x14ac:dyDescent="0.25">
      <c r="A188" s="843" t="s">
        <v>1504</v>
      </c>
      <c r="B188" s="843" t="s">
        <v>1438</v>
      </c>
      <c r="C188" s="843">
        <v>19202200026</v>
      </c>
      <c r="D188" s="843">
        <v>3.4649999999999999</v>
      </c>
      <c r="E188" s="257" t="s">
        <v>419</v>
      </c>
    </row>
    <row r="189" spans="1:7" x14ac:dyDescent="0.25">
      <c r="A189" s="843" t="s">
        <v>1505</v>
      </c>
      <c r="B189" s="843" t="s">
        <v>1435</v>
      </c>
      <c r="C189" s="843">
        <v>19202200013</v>
      </c>
      <c r="D189" s="843">
        <v>3.78</v>
      </c>
      <c r="E189" s="257" t="s">
        <v>419</v>
      </c>
      <c r="F189" s="829"/>
      <c r="G189" s="829"/>
    </row>
    <row r="190" spans="1:7" x14ac:dyDescent="0.25">
      <c r="A190" s="843" t="s">
        <v>1506</v>
      </c>
      <c r="B190" s="843" t="s">
        <v>1435</v>
      </c>
      <c r="C190" s="843">
        <v>19202200009</v>
      </c>
      <c r="D190" s="843">
        <v>3.7589999999999999</v>
      </c>
      <c r="E190" s="257" t="s">
        <v>419</v>
      </c>
      <c r="F190" s="829"/>
      <c r="G190" s="829"/>
    </row>
    <row r="191" spans="1:7" x14ac:dyDescent="0.25">
      <c r="A191" s="843" t="s">
        <v>1507</v>
      </c>
      <c r="B191" s="843" t="s">
        <v>1435</v>
      </c>
      <c r="C191" s="843">
        <v>19202200017</v>
      </c>
      <c r="D191" s="843">
        <v>3.5590000000000002</v>
      </c>
      <c r="E191" s="257" t="s">
        <v>419</v>
      </c>
      <c r="F191" s="829"/>
      <c r="G191" s="829"/>
    </row>
    <row r="192" spans="1:7" x14ac:dyDescent="0.25">
      <c r="A192" s="843" t="s">
        <v>1508</v>
      </c>
      <c r="B192" s="843" t="s">
        <v>1435</v>
      </c>
      <c r="C192" s="843">
        <v>19202200002</v>
      </c>
      <c r="D192" s="843">
        <v>3.46</v>
      </c>
      <c r="E192" s="257" t="s">
        <v>419</v>
      </c>
      <c r="F192" s="829"/>
      <c r="G192" s="829"/>
    </row>
    <row r="193" spans="1:7" x14ac:dyDescent="0.25">
      <c r="A193" s="843" t="s">
        <v>1509</v>
      </c>
      <c r="B193" s="843" t="s">
        <v>1435</v>
      </c>
      <c r="C193" s="843">
        <v>19202200001</v>
      </c>
      <c r="D193" s="843">
        <v>3.427</v>
      </c>
      <c r="E193" s="257" t="s">
        <v>419</v>
      </c>
      <c r="F193" s="829"/>
      <c r="G193" s="829"/>
    </row>
    <row r="194" spans="1:7" x14ac:dyDescent="0.25">
      <c r="A194" s="843" t="s">
        <v>1510</v>
      </c>
      <c r="B194" s="843" t="s">
        <v>1435</v>
      </c>
      <c r="C194" s="843">
        <v>19202200015</v>
      </c>
      <c r="D194" s="843">
        <v>3.42</v>
      </c>
      <c r="E194" s="257" t="s">
        <v>419</v>
      </c>
      <c r="F194" s="829"/>
      <c r="G194" s="829"/>
    </row>
    <row r="195" spans="1:7" x14ac:dyDescent="0.25">
      <c r="A195" s="843" t="s">
        <v>1511</v>
      </c>
      <c r="B195" s="843" t="s">
        <v>1435</v>
      </c>
      <c r="C195" s="843">
        <v>19202200019</v>
      </c>
      <c r="D195" s="843">
        <v>3.1949999999999998</v>
      </c>
      <c r="E195" s="257" t="s">
        <v>419</v>
      </c>
      <c r="F195" s="829"/>
      <c r="G195" s="829"/>
    </row>
    <row r="196" spans="1:7" x14ac:dyDescent="0.25">
      <c r="A196" s="843" t="s">
        <v>1512</v>
      </c>
      <c r="B196" s="843" t="s">
        <v>1435</v>
      </c>
      <c r="C196" s="843">
        <v>19202200010</v>
      </c>
      <c r="D196" s="843">
        <v>3.1440000000000001</v>
      </c>
      <c r="E196" s="257" t="s">
        <v>419</v>
      </c>
      <c r="F196" s="829"/>
      <c r="G196" s="829"/>
    </row>
    <row r="197" spans="1:7" x14ac:dyDescent="0.25">
      <c r="A197" s="843" t="s">
        <v>1513</v>
      </c>
      <c r="B197" s="843" t="s">
        <v>1435</v>
      </c>
      <c r="C197" s="843">
        <v>19202200027</v>
      </c>
      <c r="D197" s="843">
        <v>3.1040000000000001</v>
      </c>
      <c r="E197" s="257" t="s">
        <v>419</v>
      </c>
      <c r="F197" s="829"/>
      <c r="G197" s="829"/>
    </row>
    <row r="198" spans="1:7" x14ac:dyDescent="0.25">
      <c r="A198" s="843" t="s">
        <v>1513</v>
      </c>
      <c r="B198" s="843" t="s">
        <v>1435</v>
      </c>
      <c r="C198" s="843">
        <v>19202200025</v>
      </c>
      <c r="D198" s="843">
        <v>3.101</v>
      </c>
      <c r="E198" s="845" t="s">
        <v>420</v>
      </c>
      <c r="F198" s="829"/>
      <c r="G198" s="829"/>
    </row>
    <row r="199" spans="1:7" x14ac:dyDescent="0.25">
      <c r="A199" s="843" t="s">
        <v>1513</v>
      </c>
      <c r="B199" s="843" t="s">
        <v>1435</v>
      </c>
      <c r="C199" s="843">
        <v>19202200008</v>
      </c>
      <c r="D199" s="843">
        <v>3.0779999999999998</v>
      </c>
      <c r="E199" s="845" t="s">
        <v>420</v>
      </c>
      <c r="F199" s="829"/>
      <c r="G199" s="829"/>
    </row>
    <row r="200" spans="1:7" x14ac:dyDescent="0.25">
      <c r="A200" s="843" t="s">
        <v>1513</v>
      </c>
      <c r="B200" s="843" t="s">
        <v>1435</v>
      </c>
      <c r="C200" s="843">
        <v>19202200003</v>
      </c>
      <c r="D200" s="843">
        <v>3.0649999999999999</v>
      </c>
      <c r="E200" s="845" t="s">
        <v>420</v>
      </c>
      <c r="F200" s="829"/>
      <c r="G200" s="829"/>
    </row>
    <row r="201" spans="1:7" x14ac:dyDescent="0.25">
      <c r="A201" s="843" t="s">
        <v>1513</v>
      </c>
      <c r="B201" s="843" t="s">
        <v>1435</v>
      </c>
      <c r="C201" s="843">
        <v>19202200011</v>
      </c>
      <c r="D201" s="843">
        <v>3.0339999999999998</v>
      </c>
      <c r="E201" s="845" t="s">
        <v>420</v>
      </c>
      <c r="F201" s="829"/>
      <c r="G201" s="829"/>
    </row>
    <row r="202" spans="1:7" x14ac:dyDescent="0.25">
      <c r="A202" s="843" t="s">
        <v>1513</v>
      </c>
      <c r="B202" s="843" t="s">
        <v>1435</v>
      </c>
      <c r="C202" s="843">
        <v>19202200007</v>
      </c>
      <c r="D202" s="843">
        <v>2.9649999999999999</v>
      </c>
      <c r="E202" s="845" t="s">
        <v>420</v>
      </c>
      <c r="F202" s="829"/>
      <c r="G202" s="829"/>
    </row>
    <row r="203" spans="1:7" x14ac:dyDescent="0.25">
      <c r="A203" s="843" t="s">
        <v>1513</v>
      </c>
      <c r="B203" s="843" t="s">
        <v>1435</v>
      </c>
      <c r="C203" s="843">
        <v>19202200024</v>
      </c>
      <c r="D203" s="843">
        <v>2.8780000000000001</v>
      </c>
      <c r="E203" s="845" t="s">
        <v>420</v>
      </c>
      <c r="F203" s="829"/>
      <c r="G203" s="829"/>
    </row>
    <row r="204" spans="1:7" x14ac:dyDescent="0.25">
      <c r="A204" s="843" t="s">
        <v>1513</v>
      </c>
      <c r="B204" s="843" t="s">
        <v>1435</v>
      </c>
      <c r="C204" s="843">
        <v>19202200020</v>
      </c>
      <c r="D204" s="843">
        <v>2.4609999999999999</v>
      </c>
      <c r="E204" s="845" t="s">
        <v>420</v>
      </c>
      <c r="F204" s="829"/>
      <c r="G204" s="829"/>
    </row>
  </sheetData>
  <mergeCells count="1">
    <mergeCell ref="A1:F1"/>
  </mergeCells>
  <hyperlinks>
    <hyperlink ref="C96" r:id="rId1" location="/router?komponent=taotlus&amp;id=597945&amp;kuva=ava" display="https://pms.arib.pria.ee/pms-menetlus/ - /router?komponent=taotlus&amp;id=597945&amp;kuva=ava"/>
    <hyperlink ref="C95" r:id="rId2" location="/router?komponent=taotlus&amp;id=602457&amp;kuva=ava" display="https://pms.arib.pria.ee/pms-menetlus/ - /router?komponent=taotlus&amp;id=602457&amp;kuva=ava"/>
    <hyperlink ref="C94:C98" r:id="rId3" location="/router?komponent=taotlus&amp;id=602457&amp;kuva=ava" display="https://pms.arib.pria.ee/pms-menetlus/ - /router?komponent=taotlus&amp;id=602457&amp;kuva=ava"/>
    <hyperlink ref="C99" r:id="rId4" location="/router?komponent=taotlus&amp;id=595076&amp;kuva=ava" display="https://pms.arib.pria.ee/pms-menetlus/ - /router?komponent=taotlus&amp;id=595076&amp;kuva=ava"/>
    <hyperlink ref="C100" r:id="rId5" location="/router?komponent=taotlus&amp;id=594344&amp;kuva=ava" display="https://pms.arib.pria.ee/pms-menetlus/ - /router?komponent=taotlus&amp;id=594344&amp;kuva=ava"/>
    <hyperlink ref="C101" r:id="rId6" location="/router?komponent=taotlus&amp;id=599775&amp;kuva=ava" display="https://pms.arib.pria.ee/pms-menetlus/ - /router?komponent=taotlus&amp;id=599775&amp;kuva=ava"/>
    <hyperlink ref="C102" r:id="rId7" location="/router?komponent=taotlus&amp;id=606981&amp;kuva=ava" display="https://pms.arib.pria.ee/pms-menetlus/ - /router?komponent=taotlus&amp;id=606981&amp;kuva=ava"/>
    <hyperlink ref="C103" r:id="rId8" location="/router?komponent=taotlus&amp;id=604763&amp;kuva=ava" display="https://pms.arib.pria.ee/pms-menetlus/ - /router?komponent=taotlus&amp;id=604763&amp;kuva=ava"/>
    <hyperlink ref="C104" r:id="rId9" location="/router?komponent=taotlus&amp;id=599117&amp;kuva=ava" display="https://pms.arib.pria.ee/pms-menetlus/ - /router?komponent=taotlus&amp;id=599117&amp;kuva=ava"/>
    <hyperlink ref="C105" r:id="rId10" location="/router?komponent=taotlus&amp;id=603636&amp;kuva=ava" display="https://pms.arib.pria.ee/pms-menetlus/ - /router?komponent=taotlus&amp;id=603636&amp;kuva=ava"/>
    <hyperlink ref="C106" r:id="rId11" location="/router?komponent=taotlus&amp;id=596592&amp;kuva=ava" display="https://pms.arib.pria.ee/pms-menetlus/ - /router?komponent=taotlus&amp;id=596592&amp;kuva=ava"/>
    <hyperlink ref="C107" r:id="rId12" location="/router?komponent=taotlus&amp;id=597258&amp;kuva=ava" display="https://pms.arib.pria.ee/pms-menetlus/ - /router?komponent=taotlus&amp;id=597258&amp;kuva=ava"/>
    <hyperlink ref="C108" r:id="rId13" location="/router?komponent=taotlus&amp;id=597247&amp;kuva=ava" display="https://pms.arib.pria.ee/pms-menetlus/ - /router?komponent=taotlus&amp;id=597247&amp;kuva=ava"/>
    <hyperlink ref="C109" r:id="rId14" location="/router?komponent=taotlus&amp;id=604702&amp;kuva=ava" display="https://pms.arib.pria.ee/pms-menetlus/ - /router?komponent=taotlus&amp;id=604702&amp;kuva=ava"/>
  </hyperlinks>
  <pageMargins left="0.7" right="0.7" top="0.75" bottom="0.75" header="0.3" footer="0.3"/>
  <pageSetup paperSize="9" orientation="portrait" r:id="rId1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9"/>
  <sheetViews>
    <sheetView workbookViewId="0">
      <pane ySplit="2" topLeftCell="A263" activePane="bottomLeft" state="frozen"/>
      <selection pane="bottomLeft" activeCell="I259" sqref="I259"/>
    </sheetView>
  </sheetViews>
  <sheetFormatPr defaultRowHeight="15" x14ac:dyDescent="0.25"/>
  <cols>
    <col min="1" max="1" width="21.140625" customWidth="1"/>
    <col min="2" max="2" width="47.42578125" customWidth="1"/>
    <col min="3" max="3" width="18.85546875" customWidth="1"/>
    <col min="4" max="4" width="14.140625" customWidth="1"/>
    <col min="5" max="5" width="18.85546875" customWidth="1"/>
    <col min="6" max="6" width="17.140625" style="20" customWidth="1"/>
  </cols>
  <sheetData>
    <row r="1" spans="1:6" ht="15.75" x14ac:dyDescent="0.25">
      <c r="A1" s="856" t="s">
        <v>35</v>
      </c>
      <c r="B1" s="857"/>
      <c r="C1" s="857"/>
      <c r="D1" s="857"/>
      <c r="E1" s="857"/>
      <c r="F1" s="857"/>
    </row>
    <row r="2" spans="1:6" ht="15.75" thickBot="1" x14ac:dyDescent="0.3">
      <c r="A2" s="149" t="s">
        <v>6</v>
      </c>
      <c r="B2" s="109" t="s">
        <v>2</v>
      </c>
      <c r="C2" s="110" t="s">
        <v>0</v>
      </c>
      <c r="D2" s="108" t="s">
        <v>1</v>
      </c>
      <c r="E2" s="183" t="s">
        <v>464</v>
      </c>
      <c r="F2" s="832" t="s">
        <v>577</v>
      </c>
    </row>
    <row r="3" spans="1:6" x14ac:dyDescent="0.25">
      <c r="A3" s="58" t="s">
        <v>458</v>
      </c>
      <c r="B3" s="64" t="s">
        <v>459</v>
      </c>
      <c r="C3" s="49" t="str">
        <f>"619216781196"</f>
        <v>619216781196</v>
      </c>
      <c r="D3" s="38">
        <v>22</v>
      </c>
      <c r="E3" s="213" t="s">
        <v>419</v>
      </c>
      <c r="F3" s="833" t="s">
        <v>578</v>
      </c>
    </row>
    <row r="4" spans="1:6" x14ac:dyDescent="0.25">
      <c r="A4" s="60" t="s">
        <v>458</v>
      </c>
      <c r="B4" s="25" t="s">
        <v>459</v>
      </c>
      <c r="C4" s="2" t="str">
        <f>"619216781197"</f>
        <v>619216781197</v>
      </c>
      <c r="D4" s="9">
        <v>21.4</v>
      </c>
      <c r="E4" s="214" t="s">
        <v>419</v>
      </c>
      <c r="F4" s="834" t="s">
        <v>579</v>
      </c>
    </row>
    <row r="5" spans="1:6" x14ac:dyDescent="0.25">
      <c r="A5" s="60" t="s">
        <v>458</v>
      </c>
      <c r="B5" s="25" t="s">
        <v>459</v>
      </c>
      <c r="C5" s="2" t="str">
        <f>"619216781206"</f>
        <v>619216781206</v>
      </c>
      <c r="D5" s="9">
        <v>19</v>
      </c>
      <c r="E5" s="214" t="s">
        <v>419</v>
      </c>
      <c r="F5" s="834" t="s">
        <v>580</v>
      </c>
    </row>
    <row r="6" spans="1:6" x14ac:dyDescent="0.25">
      <c r="A6" s="60" t="s">
        <v>458</v>
      </c>
      <c r="B6" s="25" t="s">
        <v>459</v>
      </c>
      <c r="C6" s="2" t="str">
        <f>"619216841203"</f>
        <v>619216841203</v>
      </c>
      <c r="D6" s="9">
        <v>18</v>
      </c>
      <c r="E6" s="214" t="s">
        <v>419</v>
      </c>
      <c r="F6" s="834" t="s">
        <v>581</v>
      </c>
    </row>
    <row r="7" spans="1:6" x14ac:dyDescent="0.25">
      <c r="A7" s="60" t="s">
        <v>458</v>
      </c>
      <c r="B7" s="25" t="s">
        <v>459</v>
      </c>
      <c r="C7" s="2" t="str">
        <f>"619216781205"</f>
        <v>619216781205</v>
      </c>
      <c r="D7" s="9">
        <v>17.2</v>
      </c>
      <c r="E7" s="214" t="s">
        <v>419</v>
      </c>
      <c r="F7" s="834" t="s">
        <v>582</v>
      </c>
    </row>
    <row r="8" spans="1:6" x14ac:dyDescent="0.25">
      <c r="A8" s="60" t="s">
        <v>458</v>
      </c>
      <c r="B8" s="25" t="s">
        <v>459</v>
      </c>
      <c r="C8" s="2" t="str">
        <f>"619216841204"</f>
        <v>619216841204</v>
      </c>
      <c r="D8" s="9">
        <v>17</v>
      </c>
      <c r="E8" s="214" t="s">
        <v>419</v>
      </c>
      <c r="F8" s="834" t="s">
        <v>583</v>
      </c>
    </row>
    <row r="9" spans="1:6" x14ac:dyDescent="0.25">
      <c r="A9" s="60" t="s">
        <v>458</v>
      </c>
      <c r="B9" s="25" t="s">
        <v>459</v>
      </c>
      <c r="C9" s="2" t="str">
        <f>"619216841201"</f>
        <v>619216841201</v>
      </c>
      <c r="D9" s="9">
        <v>16.600000000000001</v>
      </c>
      <c r="E9" s="214" t="s">
        <v>419</v>
      </c>
      <c r="F9" s="834" t="s">
        <v>584</v>
      </c>
    </row>
    <row r="10" spans="1:6" x14ac:dyDescent="0.25">
      <c r="A10" s="60" t="s">
        <v>458</v>
      </c>
      <c r="B10" s="25" t="s">
        <v>459</v>
      </c>
      <c r="C10" s="2" t="str">
        <f>"619216841202"</f>
        <v>619216841202</v>
      </c>
      <c r="D10" s="9">
        <v>16.600000000000001</v>
      </c>
      <c r="E10" s="214" t="s">
        <v>419</v>
      </c>
      <c r="F10" s="834" t="s">
        <v>585</v>
      </c>
    </row>
    <row r="11" spans="1:6" x14ac:dyDescent="0.25">
      <c r="A11" s="60" t="s">
        <v>458</v>
      </c>
      <c r="B11" s="25" t="s">
        <v>459</v>
      </c>
      <c r="C11" s="2" t="str">
        <f>"619216841200"</f>
        <v>619216841200</v>
      </c>
      <c r="D11" s="9">
        <v>16.399999999999999</v>
      </c>
      <c r="E11" s="218" t="s">
        <v>420</v>
      </c>
      <c r="F11" s="834" t="s">
        <v>586</v>
      </c>
    </row>
    <row r="12" spans="1:6" x14ac:dyDescent="0.25">
      <c r="A12" s="60" t="s">
        <v>458</v>
      </c>
      <c r="B12" s="25" t="s">
        <v>459</v>
      </c>
      <c r="C12" s="2" t="str">
        <f>"619216371198"</f>
        <v>619216371198</v>
      </c>
      <c r="D12" s="9">
        <v>14</v>
      </c>
      <c r="E12" s="218" t="s">
        <v>420</v>
      </c>
      <c r="F12" s="834" t="s">
        <v>587</v>
      </c>
    </row>
    <row r="13" spans="1:6" ht="15.75" thickBot="1" x14ac:dyDescent="0.3">
      <c r="A13" s="61" t="s">
        <v>458</v>
      </c>
      <c r="B13" s="88" t="s">
        <v>459</v>
      </c>
      <c r="C13" s="51" t="str">
        <f>"619216781199"</f>
        <v>619216781199</v>
      </c>
      <c r="D13" s="45">
        <v>13.6</v>
      </c>
      <c r="E13" s="219" t="s">
        <v>420</v>
      </c>
      <c r="F13" s="835" t="s">
        <v>588</v>
      </c>
    </row>
    <row r="14" spans="1:6" x14ac:dyDescent="0.25">
      <c r="A14" s="58" t="s">
        <v>458</v>
      </c>
      <c r="B14" s="64" t="s">
        <v>460</v>
      </c>
      <c r="C14" s="49" t="str">
        <f>"619216781229"</f>
        <v>619216781229</v>
      </c>
      <c r="D14" s="38">
        <v>22</v>
      </c>
      <c r="E14" s="213" t="s">
        <v>419</v>
      </c>
      <c r="F14" s="833" t="s">
        <v>578</v>
      </c>
    </row>
    <row r="15" spans="1:6" x14ac:dyDescent="0.25">
      <c r="A15" s="60" t="s">
        <v>458</v>
      </c>
      <c r="B15" s="25" t="s">
        <v>460</v>
      </c>
      <c r="C15" s="2" t="str">
        <f>"619216781228"</f>
        <v>619216781228</v>
      </c>
      <c r="D15" s="9">
        <v>21</v>
      </c>
      <c r="E15" s="214" t="s">
        <v>419</v>
      </c>
      <c r="F15" s="834" t="s">
        <v>579</v>
      </c>
    </row>
    <row r="16" spans="1:6" x14ac:dyDescent="0.25">
      <c r="A16" s="60" t="s">
        <v>458</v>
      </c>
      <c r="B16" s="25" t="s">
        <v>460</v>
      </c>
      <c r="C16" s="2" t="str">
        <f>"619216841224"</f>
        <v>619216841224</v>
      </c>
      <c r="D16" s="9">
        <v>20</v>
      </c>
      <c r="E16" s="214" t="s">
        <v>419</v>
      </c>
      <c r="F16" s="834" t="s">
        <v>580</v>
      </c>
    </row>
    <row r="17" spans="1:6" x14ac:dyDescent="0.25">
      <c r="A17" s="60" t="s">
        <v>458</v>
      </c>
      <c r="B17" s="25" t="s">
        <v>460</v>
      </c>
      <c r="C17" s="2" t="str">
        <f>"619216841223"</f>
        <v>619216841223</v>
      </c>
      <c r="D17" s="9">
        <v>19.8</v>
      </c>
      <c r="E17" s="214" t="s">
        <v>419</v>
      </c>
      <c r="F17" s="834" t="s">
        <v>581</v>
      </c>
    </row>
    <row r="18" spans="1:6" x14ac:dyDescent="0.25">
      <c r="A18" s="60" t="s">
        <v>458</v>
      </c>
      <c r="B18" s="25" t="s">
        <v>460</v>
      </c>
      <c r="C18" s="2" t="str">
        <f>"619216841217"</f>
        <v>619216841217</v>
      </c>
      <c r="D18" s="9">
        <v>19.399999999999999</v>
      </c>
      <c r="E18" s="214" t="s">
        <v>419</v>
      </c>
      <c r="F18" s="834" t="s">
        <v>582</v>
      </c>
    </row>
    <row r="19" spans="1:6" x14ac:dyDescent="0.25">
      <c r="A19" s="60" t="s">
        <v>458</v>
      </c>
      <c r="B19" s="25" t="s">
        <v>460</v>
      </c>
      <c r="C19" s="2" t="str">
        <f>"619216781216"</f>
        <v>619216781216</v>
      </c>
      <c r="D19" s="9">
        <v>18.600000000000001</v>
      </c>
      <c r="E19" s="214" t="s">
        <v>419</v>
      </c>
      <c r="F19" s="834" t="s">
        <v>583</v>
      </c>
    </row>
    <row r="20" spans="1:6" x14ac:dyDescent="0.25">
      <c r="A20" s="60" t="s">
        <v>458</v>
      </c>
      <c r="B20" s="25" t="s">
        <v>460</v>
      </c>
      <c r="C20" s="2" t="str">
        <f>"619216841220"</f>
        <v>619216841220</v>
      </c>
      <c r="D20" s="9">
        <v>18.399999999999999</v>
      </c>
      <c r="E20" s="214" t="s">
        <v>419</v>
      </c>
      <c r="F20" s="834" t="s">
        <v>584</v>
      </c>
    </row>
    <row r="21" spans="1:6" x14ac:dyDescent="0.25">
      <c r="A21" s="60" t="s">
        <v>458</v>
      </c>
      <c r="B21" s="25" t="s">
        <v>460</v>
      </c>
      <c r="C21" s="2" t="str">
        <f>"619216841218"</f>
        <v>619216841218</v>
      </c>
      <c r="D21" s="15">
        <v>17.2</v>
      </c>
      <c r="E21" s="218" t="s">
        <v>420</v>
      </c>
      <c r="F21" s="834" t="s">
        <v>585</v>
      </c>
    </row>
    <row r="22" spans="1:6" x14ac:dyDescent="0.25">
      <c r="A22" s="60" t="s">
        <v>458</v>
      </c>
      <c r="B22" s="25" t="s">
        <v>460</v>
      </c>
      <c r="C22" s="2" t="str">
        <f>"619216841212"</f>
        <v>619216841212</v>
      </c>
      <c r="D22" s="15">
        <v>16.8</v>
      </c>
      <c r="E22" s="218" t="s">
        <v>420</v>
      </c>
      <c r="F22" s="834" t="s">
        <v>586</v>
      </c>
    </row>
    <row r="23" spans="1:6" x14ac:dyDescent="0.25">
      <c r="A23" s="60" t="s">
        <v>458</v>
      </c>
      <c r="B23" s="25" t="s">
        <v>460</v>
      </c>
      <c r="C23" s="2" t="str">
        <f>"619216841226"</f>
        <v>619216841226</v>
      </c>
      <c r="D23" s="15">
        <v>16.600000000000001</v>
      </c>
      <c r="E23" s="218" t="s">
        <v>420</v>
      </c>
      <c r="F23" s="834" t="s">
        <v>587</v>
      </c>
    </row>
    <row r="24" spans="1:6" x14ac:dyDescent="0.25">
      <c r="A24" s="60" t="s">
        <v>458</v>
      </c>
      <c r="B24" s="25" t="s">
        <v>460</v>
      </c>
      <c r="C24" s="2" t="str">
        <f>"619216781215"</f>
        <v>619216781215</v>
      </c>
      <c r="D24" s="15">
        <v>15</v>
      </c>
      <c r="E24" s="218" t="s">
        <v>420</v>
      </c>
      <c r="F24" s="834" t="s">
        <v>588</v>
      </c>
    </row>
    <row r="25" spans="1:6" x14ac:dyDescent="0.25">
      <c r="A25" s="60" t="s">
        <v>458</v>
      </c>
      <c r="B25" s="25" t="s">
        <v>460</v>
      </c>
      <c r="C25" s="2" t="str">
        <f>"619216781213"</f>
        <v>619216781213</v>
      </c>
      <c r="D25" s="15">
        <v>14.6</v>
      </c>
      <c r="E25" s="218" t="s">
        <v>420</v>
      </c>
      <c r="F25" s="834" t="s">
        <v>589</v>
      </c>
    </row>
    <row r="26" spans="1:6" x14ac:dyDescent="0.25">
      <c r="A26" s="60" t="s">
        <v>458</v>
      </c>
      <c r="B26" s="25" t="s">
        <v>460</v>
      </c>
      <c r="C26" s="2" t="str">
        <f>"619216841214"</f>
        <v>619216841214</v>
      </c>
      <c r="D26" s="15">
        <v>14.6</v>
      </c>
      <c r="E26" s="218" t="s">
        <v>420</v>
      </c>
      <c r="F26" s="834" t="s">
        <v>590</v>
      </c>
    </row>
    <row r="27" spans="1:6" x14ac:dyDescent="0.25">
      <c r="A27" s="60" t="s">
        <v>458</v>
      </c>
      <c r="B27" s="25" t="s">
        <v>460</v>
      </c>
      <c r="C27" s="2" t="str">
        <f>"619216781219"</f>
        <v>619216781219</v>
      </c>
      <c r="D27" s="15">
        <v>14.4</v>
      </c>
      <c r="E27" s="218" t="s">
        <v>420</v>
      </c>
      <c r="F27" s="834" t="s">
        <v>591</v>
      </c>
    </row>
    <row r="28" spans="1:6" x14ac:dyDescent="0.25">
      <c r="A28" s="60" t="s">
        <v>458</v>
      </c>
      <c r="B28" s="25" t="s">
        <v>460</v>
      </c>
      <c r="C28" s="2" t="str">
        <f>"619216781225"</f>
        <v>619216781225</v>
      </c>
      <c r="D28" s="15">
        <v>14.4</v>
      </c>
      <c r="E28" s="218" t="s">
        <v>420</v>
      </c>
      <c r="F28" s="834" t="s">
        <v>592</v>
      </c>
    </row>
    <row r="29" spans="1:6" x14ac:dyDescent="0.25">
      <c r="A29" s="60" t="s">
        <v>458</v>
      </c>
      <c r="B29" s="25" t="s">
        <v>460</v>
      </c>
      <c r="C29" s="2" t="str">
        <f>"619216781222"</f>
        <v>619216781222</v>
      </c>
      <c r="D29" s="15">
        <v>14.4</v>
      </c>
      <c r="E29" s="218" t="s">
        <v>420</v>
      </c>
      <c r="F29" s="834" t="s">
        <v>593</v>
      </c>
    </row>
    <row r="30" spans="1:6" x14ac:dyDescent="0.25">
      <c r="A30" s="60" t="s">
        <v>458</v>
      </c>
      <c r="B30" s="25" t="s">
        <v>460</v>
      </c>
      <c r="C30" s="2" t="str">
        <f>"619216781221"</f>
        <v>619216781221</v>
      </c>
      <c r="D30" s="9">
        <v>13.8</v>
      </c>
      <c r="E30" s="218" t="s">
        <v>420</v>
      </c>
      <c r="F30" s="834" t="s">
        <v>594</v>
      </c>
    </row>
    <row r="31" spans="1:6" ht="15.75" thickBot="1" x14ac:dyDescent="0.3">
      <c r="A31" s="61" t="s">
        <v>458</v>
      </c>
      <c r="B31" s="88" t="s">
        <v>460</v>
      </c>
      <c r="C31" s="51" t="str">
        <f>"619216781227"</f>
        <v>619216781227</v>
      </c>
      <c r="D31" s="45">
        <v>13.6</v>
      </c>
      <c r="E31" s="219" t="s">
        <v>420</v>
      </c>
      <c r="F31" s="835" t="s">
        <v>595</v>
      </c>
    </row>
    <row r="32" spans="1:6" x14ac:dyDescent="0.25">
      <c r="A32" s="58" t="s">
        <v>458</v>
      </c>
      <c r="B32" s="64" t="s">
        <v>461</v>
      </c>
      <c r="C32" s="49" t="str">
        <f>"619216781208"</f>
        <v>619216781208</v>
      </c>
      <c r="D32" s="38">
        <v>18.600000000000001</v>
      </c>
      <c r="E32" s="213" t="s">
        <v>419</v>
      </c>
      <c r="F32" s="833" t="s">
        <v>578</v>
      </c>
    </row>
    <row r="33" spans="1:11" x14ac:dyDescent="0.25">
      <c r="A33" s="60" t="s">
        <v>458</v>
      </c>
      <c r="B33" s="25" t="s">
        <v>461</v>
      </c>
      <c r="C33" s="2" t="str">
        <f>"619216781207"</f>
        <v>619216781207</v>
      </c>
      <c r="D33" s="9">
        <v>17.600000000000001</v>
      </c>
      <c r="E33" s="214" t="s">
        <v>419</v>
      </c>
      <c r="F33" s="834" t="s">
        <v>579</v>
      </c>
    </row>
    <row r="34" spans="1:11" x14ac:dyDescent="0.25">
      <c r="A34" s="60" t="s">
        <v>458</v>
      </c>
      <c r="B34" s="25" t="s">
        <v>461</v>
      </c>
      <c r="C34" s="2" t="str">
        <f>"619216781211"</f>
        <v>619216781211</v>
      </c>
      <c r="D34" s="9">
        <v>17.399999999999999</v>
      </c>
      <c r="E34" s="214" t="s">
        <v>419</v>
      </c>
      <c r="F34" s="834" t="s">
        <v>580</v>
      </c>
    </row>
    <row r="35" spans="1:11" x14ac:dyDescent="0.25">
      <c r="A35" s="60" t="s">
        <v>458</v>
      </c>
      <c r="B35" s="25" t="s">
        <v>461</v>
      </c>
      <c r="C35" s="2" t="str">
        <f>"619216781209"</f>
        <v>619216781209</v>
      </c>
      <c r="D35" s="9">
        <v>15.2</v>
      </c>
      <c r="E35" s="214" t="s">
        <v>419</v>
      </c>
      <c r="F35" s="834" t="s">
        <v>581</v>
      </c>
    </row>
    <row r="36" spans="1:11" ht="15.75" thickBot="1" x14ac:dyDescent="0.3">
      <c r="A36" s="61" t="s">
        <v>458</v>
      </c>
      <c r="B36" s="88" t="s">
        <v>461</v>
      </c>
      <c r="C36" s="51" t="str">
        <f>"619216841210"</f>
        <v>619216841210</v>
      </c>
      <c r="D36" s="45">
        <v>13.6</v>
      </c>
      <c r="E36" s="215" t="s">
        <v>419</v>
      </c>
      <c r="F36" s="835" t="s">
        <v>582</v>
      </c>
    </row>
    <row r="37" spans="1:11" x14ac:dyDescent="0.25">
      <c r="A37" s="5" t="s">
        <v>665</v>
      </c>
      <c r="B37" s="2" t="s">
        <v>459</v>
      </c>
      <c r="C37" s="2" t="str">
        <f>"619217781762"</f>
        <v>619217781762</v>
      </c>
      <c r="D37" s="2">
        <v>10.6</v>
      </c>
      <c r="E37" s="310" t="s">
        <v>420</v>
      </c>
      <c r="F37" s="836" t="s">
        <v>589</v>
      </c>
    </row>
    <row r="38" spans="1:11" x14ac:dyDescent="0.25">
      <c r="A38" s="5" t="s">
        <v>665</v>
      </c>
      <c r="B38" s="2" t="s">
        <v>459</v>
      </c>
      <c r="C38" s="2" t="str">
        <f>"619217781761"</f>
        <v>619217781761</v>
      </c>
      <c r="D38" s="2">
        <v>11.6</v>
      </c>
      <c r="E38" s="310" t="s">
        <v>420</v>
      </c>
      <c r="F38" s="837" t="s">
        <v>588</v>
      </c>
    </row>
    <row r="39" spans="1:11" x14ac:dyDescent="0.25">
      <c r="A39" s="5" t="s">
        <v>665</v>
      </c>
      <c r="B39" s="2" t="s">
        <v>459</v>
      </c>
      <c r="C39" s="2" t="str">
        <f>"619217841764"</f>
        <v>619217841764</v>
      </c>
      <c r="D39" s="2">
        <v>12.2</v>
      </c>
      <c r="E39" s="310" t="s">
        <v>420</v>
      </c>
      <c r="F39" s="837" t="s">
        <v>587</v>
      </c>
    </row>
    <row r="40" spans="1:11" x14ac:dyDescent="0.25">
      <c r="A40" s="5" t="s">
        <v>665</v>
      </c>
      <c r="B40" s="2" t="s">
        <v>459</v>
      </c>
      <c r="C40" s="2" t="str">
        <f>"619217781766"</f>
        <v>619217781766</v>
      </c>
      <c r="D40" s="2">
        <v>12.6</v>
      </c>
      <c r="E40" s="310" t="s">
        <v>420</v>
      </c>
      <c r="F40" s="731" t="s">
        <v>586</v>
      </c>
    </row>
    <row r="41" spans="1:11" x14ac:dyDescent="0.25">
      <c r="A41" s="5" t="s">
        <v>665</v>
      </c>
      <c r="B41" s="2" t="s">
        <v>459</v>
      </c>
      <c r="C41" s="2" t="str">
        <f>"619217371769"</f>
        <v>619217371769</v>
      </c>
      <c r="D41" s="2">
        <v>15</v>
      </c>
      <c r="E41" s="225" t="s">
        <v>419</v>
      </c>
      <c r="F41" s="731" t="s">
        <v>585</v>
      </c>
    </row>
    <row r="42" spans="1:11" x14ac:dyDescent="0.25">
      <c r="A42" s="5" t="s">
        <v>665</v>
      </c>
      <c r="B42" s="2" t="s">
        <v>459</v>
      </c>
      <c r="C42" s="2" t="str">
        <f>"619217841765"</f>
        <v>619217841765</v>
      </c>
      <c r="D42" s="2">
        <v>15.8</v>
      </c>
      <c r="E42" s="225" t="s">
        <v>419</v>
      </c>
      <c r="F42" s="731" t="s">
        <v>584</v>
      </c>
    </row>
    <row r="43" spans="1:11" x14ac:dyDescent="0.25">
      <c r="A43" s="5" t="s">
        <v>665</v>
      </c>
      <c r="B43" s="2" t="s">
        <v>459</v>
      </c>
      <c r="C43" s="2" t="str">
        <f>"619217781760"</f>
        <v>619217781760</v>
      </c>
      <c r="D43" s="2">
        <v>16.2</v>
      </c>
      <c r="E43" s="225" t="s">
        <v>419</v>
      </c>
      <c r="F43" s="731" t="s">
        <v>583</v>
      </c>
    </row>
    <row r="44" spans="1:11" x14ac:dyDescent="0.25">
      <c r="A44" s="5" t="s">
        <v>665</v>
      </c>
      <c r="B44" s="2" t="s">
        <v>459</v>
      </c>
      <c r="C44" s="2" t="str">
        <f>"619217841759"</f>
        <v>619217841759</v>
      </c>
      <c r="D44" s="2">
        <v>17.2</v>
      </c>
      <c r="E44" s="225" t="s">
        <v>419</v>
      </c>
      <c r="F44" s="731" t="s">
        <v>582</v>
      </c>
    </row>
    <row r="45" spans="1:11" x14ac:dyDescent="0.25">
      <c r="A45" s="5" t="s">
        <v>665</v>
      </c>
      <c r="B45" s="2" t="s">
        <v>459</v>
      </c>
      <c r="C45" s="2" t="str">
        <f>"619217781768"</f>
        <v>619217781768</v>
      </c>
      <c r="D45" s="2">
        <v>18.600000000000001</v>
      </c>
      <c r="E45" s="225" t="s">
        <v>419</v>
      </c>
      <c r="F45" s="731" t="s">
        <v>581</v>
      </c>
    </row>
    <row r="46" spans="1:11" x14ac:dyDescent="0.25">
      <c r="A46" s="5" t="s">
        <v>665</v>
      </c>
      <c r="B46" s="2" t="s">
        <v>459</v>
      </c>
      <c r="C46" s="2" t="str">
        <f>"619217781763"</f>
        <v>619217781763</v>
      </c>
      <c r="D46" s="2">
        <v>18.8</v>
      </c>
      <c r="E46" s="225" t="s">
        <v>419</v>
      </c>
      <c r="F46" s="731" t="s">
        <v>580</v>
      </c>
    </row>
    <row r="47" spans="1:11" x14ac:dyDescent="0.25">
      <c r="A47" s="5" t="s">
        <v>665</v>
      </c>
      <c r="B47" s="2" t="s">
        <v>459</v>
      </c>
      <c r="C47" s="2" t="str">
        <f>"619217841767"</f>
        <v>619217841767</v>
      </c>
      <c r="D47" s="2">
        <v>19.600000000000001</v>
      </c>
      <c r="E47" s="225" t="s">
        <v>419</v>
      </c>
      <c r="F47" s="731" t="s">
        <v>579</v>
      </c>
      <c r="K47" s="367"/>
    </row>
    <row r="48" spans="1:11" ht="15.75" thickBot="1" x14ac:dyDescent="0.3">
      <c r="A48" s="106" t="s">
        <v>665</v>
      </c>
      <c r="B48" s="179" t="s">
        <v>459</v>
      </c>
      <c r="C48" s="179" t="str">
        <f>"619217841770"</f>
        <v>619217841770</v>
      </c>
      <c r="D48" s="179">
        <v>21.4</v>
      </c>
      <c r="E48" s="366" t="s">
        <v>419</v>
      </c>
      <c r="F48" s="731" t="s">
        <v>578</v>
      </c>
    </row>
    <row r="49" spans="1:6" x14ac:dyDescent="0.25">
      <c r="A49" s="368" t="s">
        <v>667</v>
      </c>
      <c r="B49" s="64" t="s">
        <v>460</v>
      </c>
      <c r="C49" s="49" t="str">
        <f>"619217781785"</f>
        <v>619217781785</v>
      </c>
      <c r="D49" s="49">
        <v>13.2</v>
      </c>
      <c r="E49" s="369" t="s">
        <v>420</v>
      </c>
      <c r="F49" s="838" t="s">
        <v>593</v>
      </c>
    </row>
    <row r="50" spans="1:6" x14ac:dyDescent="0.25">
      <c r="A50" s="370" t="s">
        <v>667</v>
      </c>
      <c r="B50" s="25" t="s">
        <v>460</v>
      </c>
      <c r="C50" s="2" t="str">
        <f>"619217781784"</f>
        <v>619217781784</v>
      </c>
      <c r="D50" s="2">
        <v>13.4</v>
      </c>
      <c r="E50" s="226" t="s">
        <v>420</v>
      </c>
      <c r="F50" s="839" t="s">
        <v>592</v>
      </c>
    </row>
    <row r="51" spans="1:6" x14ac:dyDescent="0.25">
      <c r="A51" s="370" t="s">
        <v>667</v>
      </c>
      <c r="B51" s="25" t="s">
        <v>460</v>
      </c>
      <c r="C51" s="2" t="str">
        <f>"619217781786"</f>
        <v>619217781786</v>
      </c>
      <c r="D51" s="2">
        <v>14.6</v>
      </c>
      <c r="E51" s="226" t="s">
        <v>420</v>
      </c>
      <c r="F51" s="839" t="s">
        <v>591</v>
      </c>
    </row>
    <row r="52" spans="1:6" x14ac:dyDescent="0.25">
      <c r="A52" s="370" t="s">
        <v>667</v>
      </c>
      <c r="B52" s="25" t="s">
        <v>460</v>
      </c>
      <c r="C52" s="2" t="str">
        <f>"619217841783"</f>
        <v>619217841783</v>
      </c>
      <c r="D52" s="2">
        <v>14.8</v>
      </c>
      <c r="E52" s="226" t="s">
        <v>420</v>
      </c>
      <c r="F52" s="834" t="s">
        <v>590</v>
      </c>
    </row>
    <row r="53" spans="1:6" x14ac:dyDescent="0.25">
      <c r="A53" s="370" t="s">
        <v>667</v>
      </c>
      <c r="B53" s="25" t="s">
        <v>460</v>
      </c>
      <c r="C53" s="2" t="str">
        <f>"619217781782"</f>
        <v>619217781782</v>
      </c>
      <c r="D53" s="2">
        <v>15.2</v>
      </c>
      <c r="E53" s="226" t="s">
        <v>420</v>
      </c>
      <c r="F53" s="834" t="s">
        <v>589</v>
      </c>
    </row>
    <row r="54" spans="1:6" x14ac:dyDescent="0.25">
      <c r="A54" s="370" t="s">
        <v>667</v>
      </c>
      <c r="B54" s="25" t="s">
        <v>460</v>
      </c>
      <c r="C54" s="2" t="str">
        <f>"619217781781"</f>
        <v>619217781781</v>
      </c>
      <c r="D54" s="2">
        <v>15.8</v>
      </c>
      <c r="E54" s="225" t="s">
        <v>419</v>
      </c>
      <c r="F54" s="839" t="s">
        <v>588</v>
      </c>
    </row>
    <row r="55" spans="1:6" x14ac:dyDescent="0.25">
      <c r="A55" s="370" t="s">
        <v>667</v>
      </c>
      <c r="B55" s="25" t="s">
        <v>460</v>
      </c>
      <c r="C55" s="2" t="str">
        <f>"619217781780"</f>
        <v>619217781780</v>
      </c>
      <c r="D55" s="2">
        <v>16</v>
      </c>
      <c r="E55" s="225" t="s">
        <v>419</v>
      </c>
      <c r="F55" s="839" t="s">
        <v>587</v>
      </c>
    </row>
    <row r="56" spans="1:6" x14ac:dyDescent="0.25">
      <c r="A56" s="370" t="s">
        <v>667</v>
      </c>
      <c r="B56" s="25" t="s">
        <v>460</v>
      </c>
      <c r="C56" s="2" t="str">
        <f>"619217841779"</f>
        <v>619217841779</v>
      </c>
      <c r="D56" s="2">
        <v>17.2</v>
      </c>
      <c r="E56" s="225" t="s">
        <v>419</v>
      </c>
      <c r="F56" s="839" t="s">
        <v>586</v>
      </c>
    </row>
    <row r="57" spans="1:6" x14ac:dyDescent="0.25">
      <c r="A57" s="370" t="s">
        <v>667</v>
      </c>
      <c r="B57" s="25" t="s">
        <v>460</v>
      </c>
      <c r="C57" s="2" t="str">
        <f>"619217781777"</f>
        <v>619217781777</v>
      </c>
      <c r="D57" s="2">
        <v>17.399999999999999</v>
      </c>
      <c r="E57" s="225" t="s">
        <v>419</v>
      </c>
      <c r="F57" s="839" t="s">
        <v>585</v>
      </c>
    </row>
    <row r="58" spans="1:6" x14ac:dyDescent="0.25">
      <c r="A58" s="370" t="s">
        <v>667</v>
      </c>
      <c r="B58" s="25" t="s">
        <v>460</v>
      </c>
      <c r="C58" s="2" t="str">
        <f>"619217841778"</f>
        <v>619217841778</v>
      </c>
      <c r="D58" s="2">
        <v>18.600000000000001</v>
      </c>
      <c r="E58" s="225" t="s">
        <v>419</v>
      </c>
      <c r="F58" s="839" t="s">
        <v>584</v>
      </c>
    </row>
    <row r="59" spans="1:6" x14ac:dyDescent="0.25">
      <c r="A59" s="370" t="s">
        <v>667</v>
      </c>
      <c r="B59" s="25" t="s">
        <v>460</v>
      </c>
      <c r="C59" s="2" t="str">
        <f>"619217841776"</f>
        <v>619217841776</v>
      </c>
      <c r="D59" s="2">
        <v>19.399999999999999</v>
      </c>
      <c r="E59" s="225" t="s">
        <v>419</v>
      </c>
      <c r="F59" s="839" t="s">
        <v>583</v>
      </c>
    </row>
    <row r="60" spans="1:6" x14ac:dyDescent="0.25">
      <c r="A60" s="370" t="s">
        <v>667</v>
      </c>
      <c r="B60" s="25" t="s">
        <v>460</v>
      </c>
      <c r="C60" s="2" t="str">
        <f>"619217841775"</f>
        <v>619217841775</v>
      </c>
      <c r="D60" s="2">
        <v>19.600000000000001</v>
      </c>
      <c r="E60" s="225" t="s">
        <v>419</v>
      </c>
      <c r="F60" s="839" t="s">
        <v>582</v>
      </c>
    </row>
    <row r="61" spans="1:6" x14ac:dyDescent="0.25">
      <c r="A61" s="370" t="s">
        <v>667</v>
      </c>
      <c r="B61" s="25" t="s">
        <v>460</v>
      </c>
      <c r="C61" s="2" t="str">
        <f>"619217841774"</f>
        <v>619217841774</v>
      </c>
      <c r="D61" s="2">
        <v>20</v>
      </c>
      <c r="E61" s="225" t="s">
        <v>419</v>
      </c>
      <c r="F61" s="839" t="s">
        <v>581</v>
      </c>
    </row>
    <row r="62" spans="1:6" x14ac:dyDescent="0.25">
      <c r="A62" s="370" t="s">
        <v>667</v>
      </c>
      <c r="B62" s="25" t="s">
        <v>460</v>
      </c>
      <c r="C62" s="2" t="str">
        <f>"619217781773"</f>
        <v>619217781773</v>
      </c>
      <c r="D62" s="2">
        <v>20.399999999999999</v>
      </c>
      <c r="E62" s="225" t="s">
        <v>419</v>
      </c>
      <c r="F62" s="839" t="s">
        <v>580</v>
      </c>
    </row>
    <row r="63" spans="1:6" x14ac:dyDescent="0.25">
      <c r="A63" s="370" t="s">
        <v>667</v>
      </c>
      <c r="B63" s="25" t="s">
        <v>460</v>
      </c>
      <c r="C63" s="2" t="str">
        <f>"619217781772"</f>
        <v>619217781772</v>
      </c>
      <c r="D63" s="2">
        <v>20.6</v>
      </c>
      <c r="E63" s="225" t="s">
        <v>419</v>
      </c>
      <c r="F63" s="839" t="s">
        <v>579</v>
      </c>
    </row>
    <row r="64" spans="1:6" x14ac:dyDescent="0.25">
      <c r="A64" s="372" t="s">
        <v>667</v>
      </c>
      <c r="B64" s="178" t="s">
        <v>460</v>
      </c>
      <c r="C64" s="179" t="str">
        <f>"619217841771"</f>
        <v>619217841771</v>
      </c>
      <c r="D64" s="179">
        <v>21.8</v>
      </c>
      <c r="E64" s="366" t="s">
        <v>419</v>
      </c>
      <c r="F64" s="840" t="s">
        <v>578</v>
      </c>
    </row>
    <row r="65" spans="1:6" x14ac:dyDescent="0.25">
      <c r="A65" s="371" t="s">
        <v>668</v>
      </c>
      <c r="B65" s="25" t="s">
        <v>461</v>
      </c>
      <c r="C65" s="2" t="str">
        <f>"619217841793"</f>
        <v>619217841793</v>
      </c>
      <c r="D65" s="26">
        <v>11.8</v>
      </c>
      <c r="E65" s="226" t="s">
        <v>420</v>
      </c>
      <c r="F65" s="602" t="s">
        <v>584</v>
      </c>
    </row>
    <row r="66" spans="1:6" x14ac:dyDescent="0.25">
      <c r="A66" s="371" t="s">
        <v>668</v>
      </c>
      <c r="B66" s="25" t="s">
        <v>461</v>
      </c>
      <c r="C66" s="2" t="str">
        <f>"619217781792"</f>
        <v>619217781792</v>
      </c>
      <c r="D66" s="26">
        <v>12.4</v>
      </c>
      <c r="E66" s="226" t="s">
        <v>420</v>
      </c>
      <c r="F66" s="602" t="s">
        <v>583</v>
      </c>
    </row>
    <row r="67" spans="1:6" x14ac:dyDescent="0.25">
      <c r="A67" s="371" t="s">
        <v>668</v>
      </c>
      <c r="B67" s="25" t="s">
        <v>461</v>
      </c>
      <c r="C67" s="2" t="str">
        <f>"619217781788"</f>
        <v>619217781788</v>
      </c>
      <c r="D67" s="26">
        <v>13.6</v>
      </c>
      <c r="E67" s="225" t="s">
        <v>419</v>
      </c>
      <c r="F67" s="602" t="s">
        <v>582</v>
      </c>
    </row>
    <row r="68" spans="1:6" x14ac:dyDescent="0.25">
      <c r="A68" s="371" t="s">
        <v>668</v>
      </c>
      <c r="B68" s="25" t="s">
        <v>461</v>
      </c>
      <c r="C68" s="2" t="str">
        <f>"619217781794"</f>
        <v>619217781794</v>
      </c>
      <c r="D68" s="26">
        <v>15</v>
      </c>
      <c r="E68" s="225" t="s">
        <v>419</v>
      </c>
      <c r="F68" s="602" t="s">
        <v>581</v>
      </c>
    </row>
    <row r="69" spans="1:6" x14ac:dyDescent="0.25">
      <c r="A69" s="371" t="s">
        <v>668</v>
      </c>
      <c r="B69" s="25" t="s">
        <v>461</v>
      </c>
      <c r="C69" s="2" t="str">
        <f>"619217841791"</f>
        <v>619217841791</v>
      </c>
      <c r="D69" s="26">
        <v>15.2</v>
      </c>
      <c r="E69" s="225" t="s">
        <v>419</v>
      </c>
      <c r="F69" s="602" t="s">
        <v>580</v>
      </c>
    </row>
    <row r="70" spans="1:6" x14ac:dyDescent="0.25">
      <c r="A70" s="371" t="s">
        <v>668</v>
      </c>
      <c r="B70" s="25" t="s">
        <v>461</v>
      </c>
      <c r="C70" s="2" t="str">
        <f>"619217781790"</f>
        <v>619217781790</v>
      </c>
      <c r="D70" s="26">
        <v>17.8</v>
      </c>
      <c r="E70" s="225" t="s">
        <v>419</v>
      </c>
      <c r="F70" s="602" t="s">
        <v>579</v>
      </c>
    </row>
    <row r="71" spans="1:6" x14ac:dyDescent="0.25">
      <c r="A71" s="371" t="s">
        <v>668</v>
      </c>
      <c r="B71" s="25" t="s">
        <v>461</v>
      </c>
      <c r="C71" s="2" t="str">
        <f>"619217841789"</f>
        <v>619217841789</v>
      </c>
      <c r="D71" s="26">
        <v>19.8</v>
      </c>
      <c r="E71" s="225" t="s">
        <v>419</v>
      </c>
      <c r="F71" s="602" t="s">
        <v>578</v>
      </c>
    </row>
    <row r="72" spans="1:6" x14ac:dyDescent="0.25">
      <c r="A72" s="371" t="s">
        <v>1096</v>
      </c>
      <c r="B72" s="26" t="s">
        <v>460</v>
      </c>
      <c r="C72" s="2">
        <v>19201700057</v>
      </c>
      <c r="D72" s="2">
        <v>2.1800000000000002</v>
      </c>
      <c r="E72" s="225" t="s">
        <v>419</v>
      </c>
      <c r="F72" s="602" t="s">
        <v>578</v>
      </c>
    </row>
    <row r="73" spans="1:6" x14ac:dyDescent="0.25">
      <c r="A73" s="371" t="s">
        <v>1096</v>
      </c>
      <c r="B73" s="26" t="s">
        <v>460</v>
      </c>
      <c r="C73" s="2">
        <v>19201700039</v>
      </c>
      <c r="D73" s="2">
        <v>2.12</v>
      </c>
      <c r="E73" s="225" t="s">
        <v>419</v>
      </c>
      <c r="F73" s="602" t="s">
        <v>579</v>
      </c>
    </row>
    <row r="74" spans="1:6" x14ac:dyDescent="0.25">
      <c r="A74" s="371" t="s">
        <v>1096</v>
      </c>
      <c r="B74" s="26" t="s">
        <v>460</v>
      </c>
      <c r="C74" s="2">
        <v>19201700036</v>
      </c>
      <c r="D74" s="2">
        <v>2.1</v>
      </c>
      <c r="E74" s="225" t="s">
        <v>419</v>
      </c>
      <c r="F74" s="602" t="s">
        <v>580</v>
      </c>
    </row>
    <row r="75" spans="1:6" x14ac:dyDescent="0.25">
      <c r="A75" s="371" t="s">
        <v>1096</v>
      </c>
      <c r="B75" s="26" t="s">
        <v>460</v>
      </c>
      <c r="C75" s="2">
        <v>19201700035</v>
      </c>
      <c r="D75" s="2">
        <v>2.06</v>
      </c>
      <c r="E75" s="225" t="s">
        <v>419</v>
      </c>
      <c r="F75" s="602" t="s">
        <v>581</v>
      </c>
    </row>
    <row r="76" spans="1:6" x14ac:dyDescent="0.25">
      <c r="A76" s="371" t="s">
        <v>1096</v>
      </c>
      <c r="B76" s="26" t="s">
        <v>460</v>
      </c>
      <c r="C76" s="2">
        <v>19201700032</v>
      </c>
      <c r="D76" s="2">
        <v>1.96</v>
      </c>
      <c r="E76" s="225" t="s">
        <v>419</v>
      </c>
      <c r="F76" s="602" t="s">
        <v>582</v>
      </c>
    </row>
    <row r="77" spans="1:6" x14ac:dyDescent="0.25">
      <c r="A77" s="371" t="s">
        <v>1096</v>
      </c>
      <c r="B77" s="26" t="s">
        <v>460</v>
      </c>
      <c r="C77" s="2">
        <v>19201700030</v>
      </c>
      <c r="D77" s="2">
        <v>1.78</v>
      </c>
      <c r="E77" s="225" t="s">
        <v>419</v>
      </c>
      <c r="F77" s="602" t="s">
        <v>583</v>
      </c>
    </row>
    <row r="78" spans="1:6" x14ac:dyDescent="0.25">
      <c r="A78" s="371" t="s">
        <v>1096</v>
      </c>
      <c r="B78" s="26" t="s">
        <v>460</v>
      </c>
      <c r="C78" s="2">
        <v>19201700038</v>
      </c>
      <c r="D78" s="2">
        <v>1.72</v>
      </c>
      <c r="E78" s="225" t="s">
        <v>419</v>
      </c>
      <c r="F78" s="602" t="s">
        <v>584</v>
      </c>
    </row>
    <row r="79" spans="1:6" x14ac:dyDescent="0.25">
      <c r="A79" s="371" t="s">
        <v>1096</v>
      </c>
      <c r="B79" s="26" t="s">
        <v>460</v>
      </c>
      <c r="C79" s="2">
        <v>19201700037</v>
      </c>
      <c r="D79" s="2">
        <v>1.68</v>
      </c>
      <c r="E79" s="225" t="s">
        <v>419</v>
      </c>
      <c r="F79" s="602" t="s">
        <v>585</v>
      </c>
    </row>
    <row r="80" spans="1:6" x14ac:dyDescent="0.25">
      <c r="A80" s="371" t="s">
        <v>1096</v>
      </c>
      <c r="B80" s="26" t="s">
        <v>460</v>
      </c>
      <c r="C80" s="2">
        <v>19201700052</v>
      </c>
      <c r="D80" s="2">
        <v>1.58</v>
      </c>
      <c r="E80" s="225" t="s">
        <v>419</v>
      </c>
      <c r="F80" s="602" t="s">
        <v>586</v>
      </c>
    </row>
    <row r="81" spans="1:6" x14ac:dyDescent="0.25">
      <c r="A81" s="371" t="s">
        <v>1096</v>
      </c>
      <c r="B81" s="26" t="s">
        <v>460</v>
      </c>
      <c r="C81" s="2">
        <v>19201700029</v>
      </c>
      <c r="D81" s="2">
        <v>1.56</v>
      </c>
      <c r="E81" s="225" t="s">
        <v>419</v>
      </c>
      <c r="F81" s="602" t="s">
        <v>587</v>
      </c>
    </row>
    <row r="82" spans="1:6" x14ac:dyDescent="0.25">
      <c r="A82" s="371" t="s">
        <v>1096</v>
      </c>
      <c r="B82" s="26" t="s">
        <v>460</v>
      </c>
      <c r="C82" s="2">
        <v>19201700034</v>
      </c>
      <c r="D82" s="2">
        <v>1.44</v>
      </c>
      <c r="E82" s="225" t="s">
        <v>419</v>
      </c>
      <c r="F82" s="602" t="s">
        <v>588</v>
      </c>
    </row>
    <row r="83" spans="1:6" x14ac:dyDescent="0.25">
      <c r="A83" s="371" t="s">
        <v>1096</v>
      </c>
      <c r="B83" s="26" t="s">
        <v>460</v>
      </c>
      <c r="C83" s="2">
        <v>19201700058</v>
      </c>
      <c r="D83" s="2">
        <v>1.36</v>
      </c>
      <c r="E83" s="226" t="s">
        <v>420</v>
      </c>
      <c r="F83" s="602" t="s">
        <v>589</v>
      </c>
    </row>
    <row r="84" spans="1:6" x14ac:dyDescent="0.25">
      <c r="A84" s="371" t="s">
        <v>1096</v>
      </c>
      <c r="B84" s="26" t="s">
        <v>460</v>
      </c>
      <c r="C84" s="2">
        <v>19201700033</v>
      </c>
      <c r="D84" s="2">
        <v>1.32</v>
      </c>
      <c r="E84" s="226" t="s">
        <v>420</v>
      </c>
      <c r="F84" s="602" t="s">
        <v>590</v>
      </c>
    </row>
    <row r="85" spans="1:6" x14ac:dyDescent="0.25">
      <c r="A85" s="371" t="s">
        <v>1101</v>
      </c>
      <c r="B85" s="26" t="s">
        <v>459</v>
      </c>
      <c r="C85" s="2">
        <v>19201800017</v>
      </c>
      <c r="D85" s="2">
        <v>21</v>
      </c>
      <c r="E85" s="225" t="s">
        <v>419</v>
      </c>
      <c r="F85" s="11" t="s">
        <v>578</v>
      </c>
    </row>
    <row r="86" spans="1:6" x14ac:dyDescent="0.25">
      <c r="A86" s="5" t="s">
        <v>1101</v>
      </c>
      <c r="B86" s="26" t="s">
        <v>459</v>
      </c>
      <c r="C86" s="2">
        <v>19201800020</v>
      </c>
      <c r="D86" s="2">
        <v>19.5</v>
      </c>
      <c r="E86" s="225" t="s">
        <v>419</v>
      </c>
      <c r="F86" s="11" t="s">
        <v>579</v>
      </c>
    </row>
    <row r="87" spans="1:6" x14ac:dyDescent="0.25">
      <c r="A87" s="5" t="s">
        <v>1101</v>
      </c>
      <c r="B87" s="26" t="s">
        <v>459</v>
      </c>
      <c r="C87" s="2">
        <v>19201800021</v>
      </c>
      <c r="D87" s="2">
        <v>19.25</v>
      </c>
      <c r="E87" s="225" t="s">
        <v>419</v>
      </c>
      <c r="F87" s="11" t="s">
        <v>580</v>
      </c>
    </row>
    <row r="88" spans="1:6" x14ac:dyDescent="0.25">
      <c r="A88" s="5" t="s">
        <v>1101</v>
      </c>
      <c r="B88" s="26" t="s">
        <v>459</v>
      </c>
      <c r="C88" s="2">
        <v>19201800022</v>
      </c>
      <c r="D88" s="2">
        <v>19</v>
      </c>
      <c r="E88" s="225" t="s">
        <v>419</v>
      </c>
      <c r="F88" s="11" t="s">
        <v>581</v>
      </c>
    </row>
    <row r="89" spans="1:6" x14ac:dyDescent="0.25">
      <c r="A89" s="371" t="s">
        <v>1101</v>
      </c>
      <c r="B89" s="26" t="s">
        <v>459</v>
      </c>
      <c r="C89" s="2">
        <v>19201800005</v>
      </c>
      <c r="D89" s="2">
        <v>18.75</v>
      </c>
      <c r="E89" s="225" t="s">
        <v>419</v>
      </c>
      <c r="F89" s="602" t="s">
        <v>582</v>
      </c>
    </row>
    <row r="90" spans="1:6" x14ac:dyDescent="0.25">
      <c r="A90" s="5" t="s">
        <v>1101</v>
      </c>
      <c r="B90" s="26" t="s">
        <v>459</v>
      </c>
      <c r="C90" s="2">
        <v>19201800008</v>
      </c>
      <c r="D90" s="2">
        <v>18.5</v>
      </c>
      <c r="E90" s="225" t="s">
        <v>419</v>
      </c>
      <c r="F90" s="11" t="s">
        <v>583</v>
      </c>
    </row>
    <row r="91" spans="1:6" x14ac:dyDescent="0.25">
      <c r="A91" s="5" t="s">
        <v>1101</v>
      </c>
      <c r="B91" s="26" t="s">
        <v>459</v>
      </c>
      <c r="C91" s="2">
        <v>19201800009</v>
      </c>
      <c r="D91" s="2">
        <v>17</v>
      </c>
      <c r="E91" s="225" t="s">
        <v>419</v>
      </c>
      <c r="F91" s="11" t="s">
        <v>584</v>
      </c>
    </row>
    <row r="92" spans="1:6" x14ac:dyDescent="0.25">
      <c r="A92" s="5" t="s">
        <v>1101</v>
      </c>
      <c r="B92" s="26" t="s">
        <v>459</v>
      </c>
      <c r="C92" s="2">
        <v>19201800019</v>
      </c>
      <c r="D92" s="2">
        <v>16</v>
      </c>
      <c r="E92" s="225" t="s">
        <v>419</v>
      </c>
      <c r="F92" s="11" t="s">
        <v>585</v>
      </c>
    </row>
    <row r="93" spans="1:6" x14ac:dyDescent="0.25">
      <c r="A93" s="5" t="s">
        <v>1101</v>
      </c>
      <c r="B93" s="26" t="s">
        <v>459</v>
      </c>
      <c r="C93" s="2">
        <v>19201800004</v>
      </c>
      <c r="D93" s="2">
        <v>15.75</v>
      </c>
      <c r="E93" s="225" t="s">
        <v>419</v>
      </c>
      <c r="F93" s="11" t="s">
        <v>586</v>
      </c>
    </row>
    <row r="94" spans="1:6" x14ac:dyDescent="0.25">
      <c r="A94" s="5" t="s">
        <v>1101</v>
      </c>
      <c r="B94" s="26" t="s">
        <v>459</v>
      </c>
      <c r="C94" s="2">
        <v>19201800012</v>
      </c>
      <c r="D94" s="2">
        <v>15.5</v>
      </c>
      <c r="E94" s="225" t="s">
        <v>419</v>
      </c>
      <c r="F94" s="11" t="s">
        <v>587</v>
      </c>
    </row>
    <row r="95" spans="1:6" x14ac:dyDescent="0.25">
      <c r="A95" s="5" t="s">
        <v>1101</v>
      </c>
      <c r="B95" s="26" t="s">
        <v>459</v>
      </c>
      <c r="C95" s="2">
        <v>19201800010</v>
      </c>
      <c r="D95" s="2">
        <v>15.25</v>
      </c>
      <c r="E95" s="226" t="s">
        <v>420</v>
      </c>
      <c r="F95" s="11" t="s">
        <v>588</v>
      </c>
    </row>
    <row r="96" spans="1:6" x14ac:dyDescent="0.25">
      <c r="A96" s="5" t="s">
        <v>1101</v>
      </c>
      <c r="B96" s="26" t="s">
        <v>459</v>
      </c>
      <c r="C96" s="2">
        <v>19201800014</v>
      </c>
      <c r="D96" s="2">
        <v>15</v>
      </c>
      <c r="E96" s="226" t="s">
        <v>420</v>
      </c>
      <c r="F96" s="11" t="s">
        <v>589</v>
      </c>
    </row>
    <row r="97" spans="1:6" x14ac:dyDescent="0.25">
      <c r="A97" s="5" t="s">
        <v>1101</v>
      </c>
      <c r="B97" s="26" t="s">
        <v>459</v>
      </c>
      <c r="C97" s="2">
        <v>19201800018</v>
      </c>
      <c r="D97" s="2">
        <v>15</v>
      </c>
      <c r="E97" s="226" t="s">
        <v>420</v>
      </c>
      <c r="F97" s="11" t="s">
        <v>590</v>
      </c>
    </row>
    <row r="98" spans="1:6" x14ac:dyDescent="0.25">
      <c r="A98" s="5" t="s">
        <v>1101</v>
      </c>
      <c r="B98" s="26" t="s">
        <v>459</v>
      </c>
      <c r="C98" s="2">
        <v>19201800003</v>
      </c>
      <c r="D98" s="2">
        <v>14.75</v>
      </c>
      <c r="E98" s="226" t="s">
        <v>420</v>
      </c>
      <c r="F98" s="11" t="s">
        <v>591</v>
      </c>
    </row>
    <row r="99" spans="1:6" x14ac:dyDescent="0.25">
      <c r="A99" s="371" t="s">
        <v>1101</v>
      </c>
      <c r="B99" s="26" t="s">
        <v>459</v>
      </c>
      <c r="C99" s="2">
        <v>19201800023</v>
      </c>
      <c r="D99" s="2">
        <v>14.75</v>
      </c>
      <c r="E99" s="226" t="s">
        <v>420</v>
      </c>
      <c r="F99" s="11" t="s">
        <v>592</v>
      </c>
    </row>
    <row r="100" spans="1:6" x14ac:dyDescent="0.25">
      <c r="A100" s="5" t="s">
        <v>1101</v>
      </c>
      <c r="B100" s="26" t="s">
        <v>459</v>
      </c>
      <c r="C100" s="2">
        <v>19201800001</v>
      </c>
      <c r="D100" s="2">
        <v>14.5</v>
      </c>
      <c r="E100" s="226" t="s">
        <v>420</v>
      </c>
      <c r="F100" s="11" t="s">
        <v>593</v>
      </c>
    </row>
    <row r="101" spans="1:6" x14ac:dyDescent="0.25">
      <c r="A101" s="5" t="s">
        <v>1101</v>
      </c>
      <c r="B101" s="26" t="s">
        <v>459</v>
      </c>
      <c r="C101" s="2">
        <v>19201800015</v>
      </c>
      <c r="D101" s="2">
        <v>14.5</v>
      </c>
      <c r="E101" s="226" t="s">
        <v>420</v>
      </c>
      <c r="F101" s="11" t="s">
        <v>594</v>
      </c>
    </row>
    <row r="102" spans="1:6" x14ac:dyDescent="0.25">
      <c r="A102" s="5" t="s">
        <v>1101</v>
      </c>
      <c r="B102" s="26" t="s">
        <v>459</v>
      </c>
      <c r="C102" s="2">
        <v>19201800006</v>
      </c>
      <c r="D102" s="2">
        <v>14.25</v>
      </c>
      <c r="E102" s="226" t="s">
        <v>420</v>
      </c>
      <c r="F102" s="11" t="s">
        <v>595</v>
      </c>
    </row>
    <row r="103" spans="1:6" x14ac:dyDescent="0.25">
      <c r="A103" s="371" t="s">
        <v>1101</v>
      </c>
      <c r="B103" s="26" t="s">
        <v>459</v>
      </c>
      <c r="C103" s="2">
        <v>19201800007</v>
      </c>
      <c r="D103" s="2">
        <v>14</v>
      </c>
      <c r="E103" s="226" t="s">
        <v>420</v>
      </c>
      <c r="F103" s="11" t="s">
        <v>596</v>
      </c>
    </row>
    <row r="104" spans="1:6" x14ac:dyDescent="0.25">
      <c r="A104" s="5" t="s">
        <v>1101</v>
      </c>
      <c r="B104" s="26" t="s">
        <v>459</v>
      </c>
      <c r="C104" s="2">
        <v>19201800016</v>
      </c>
      <c r="D104" s="2">
        <v>14</v>
      </c>
      <c r="E104" s="226" t="s">
        <v>420</v>
      </c>
      <c r="F104" s="11" t="s">
        <v>597</v>
      </c>
    </row>
    <row r="105" spans="1:6" x14ac:dyDescent="0.25">
      <c r="A105" s="5" t="s">
        <v>1101</v>
      </c>
      <c r="B105" s="26" t="s">
        <v>461</v>
      </c>
      <c r="C105" s="2">
        <v>19201800002</v>
      </c>
      <c r="D105" s="2">
        <v>15.6</v>
      </c>
      <c r="E105" s="225" t="s">
        <v>419</v>
      </c>
      <c r="F105" s="11" t="s">
        <v>578</v>
      </c>
    </row>
    <row r="106" spans="1:6" x14ac:dyDescent="0.25">
      <c r="A106" s="5" t="s">
        <v>1101</v>
      </c>
      <c r="B106" s="26" t="s">
        <v>461</v>
      </c>
      <c r="C106" s="2">
        <v>19201800013</v>
      </c>
      <c r="D106" s="2">
        <v>14.8</v>
      </c>
      <c r="E106" s="225" t="s">
        <v>419</v>
      </c>
      <c r="F106" s="11" t="s">
        <v>579</v>
      </c>
    </row>
    <row r="107" spans="1:6" x14ac:dyDescent="0.25">
      <c r="A107" s="5" t="s">
        <v>1101</v>
      </c>
      <c r="B107" s="26" t="s">
        <v>461</v>
      </c>
      <c r="C107" s="2">
        <v>19201800011</v>
      </c>
      <c r="D107" s="2">
        <v>14.6</v>
      </c>
      <c r="E107" s="225" t="s">
        <v>419</v>
      </c>
      <c r="F107" s="11" t="s">
        <v>580</v>
      </c>
    </row>
    <row r="108" spans="1:6" x14ac:dyDescent="0.25">
      <c r="A108" s="106" t="s">
        <v>1101</v>
      </c>
      <c r="B108" s="375" t="s">
        <v>461</v>
      </c>
      <c r="C108" s="179">
        <v>19201800024</v>
      </c>
      <c r="D108" s="179">
        <v>14.6</v>
      </c>
      <c r="E108" s="366" t="s">
        <v>419</v>
      </c>
      <c r="F108" s="480" t="s">
        <v>581</v>
      </c>
    </row>
    <row r="109" spans="1:6" x14ac:dyDescent="0.25">
      <c r="A109" s="5" t="s">
        <v>1164</v>
      </c>
      <c r="B109" s="26" t="s">
        <v>459</v>
      </c>
      <c r="C109" s="2">
        <v>19201801085</v>
      </c>
      <c r="D109" s="2">
        <v>20.8</v>
      </c>
      <c r="E109" s="225" t="s">
        <v>419</v>
      </c>
      <c r="F109" s="602" t="s">
        <v>578</v>
      </c>
    </row>
    <row r="110" spans="1:6" x14ac:dyDescent="0.25">
      <c r="A110" s="5" t="s">
        <v>1164</v>
      </c>
      <c r="B110" s="26" t="s">
        <v>459</v>
      </c>
      <c r="C110" s="2">
        <v>19201801102</v>
      </c>
      <c r="D110" s="2">
        <v>20.399999999999999</v>
      </c>
      <c r="E110" s="225" t="s">
        <v>419</v>
      </c>
      <c r="F110" s="602" t="s">
        <v>579</v>
      </c>
    </row>
    <row r="111" spans="1:6" x14ac:dyDescent="0.25">
      <c r="A111" s="5" t="s">
        <v>1164</v>
      </c>
      <c r="B111" s="26" t="s">
        <v>459</v>
      </c>
      <c r="C111" s="2">
        <v>19201801106</v>
      </c>
      <c r="D111" s="2">
        <v>20.2</v>
      </c>
      <c r="E111" s="225" t="s">
        <v>419</v>
      </c>
      <c r="F111" s="602" t="s">
        <v>580</v>
      </c>
    </row>
    <row r="112" spans="1:6" x14ac:dyDescent="0.25">
      <c r="A112" s="5" t="s">
        <v>1164</v>
      </c>
      <c r="B112" s="26" t="s">
        <v>459</v>
      </c>
      <c r="C112" s="2">
        <v>19201801107</v>
      </c>
      <c r="D112" s="2">
        <v>20</v>
      </c>
      <c r="E112" s="225" t="s">
        <v>419</v>
      </c>
      <c r="F112" s="602" t="s">
        <v>581</v>
      </c>
    </row>
    <row r="113" spans="1:6" x14ac:dyDescent="0.25">
      <c r="A113" s="5" t="s">
        <v>1164</v>
      </c>
      <c r="B113" s="26" t="s">
        <v>459</v>
      </c>
      <c r="C113" s="2">
        <v>19201801096</v>
      </c>
      <c r="D113" s="2">
        <v>18</v>
      </c>
      <c r="E113" s="225" t="s">
        <v>419</v>
      </c>
      <c r="F113" s="602" t="s">
        <v>582</v>
      </c>
    </row>
    <row r="114" spans="1:6" x14ac:dyDescent="0.25">
      <c r="A114" s="5" t="s">
        <v>1164</v>
      </c>
      <c r="B114" s="26" t="s">
        <v>459</v>
      </c>
      <c r="C114" s="2">
        <v>19201801092</v>
      </c>
      <c r="D114" s="2">
        <v>17.600000000000001</v>
      </c>
      <c r="E114" s="225" t="s">
        <v>419</v>
      </c>
      <c r="F114" s="602" t="s">
        <v>583</v>
      </c>
    </row>
    <row r="115" spans="1:6" x14ac:dyDescent="0.25">
      <c r="A115" s="5" t="s">
        <v>1164</v>
      </c>
      <c r="B115" s="26" t="s">
        <v>459</v>
      </c>
      <c r="C115" s="2">
        <v>19201801091</v>
      </c>
      <c r="D115" s="2">
        <v>17.399999999999999</v>
      </c>
      <c r="E115" s="225" t="s">
        <v>419</v>
      </c>
      <c r="F115" s="602" t="s">
        <v>584</v>
      </c>
    </row>
    <row r="116" spans="1:6" x14ac:dyDescent="0.25">
      <c r="A116" s="5" t="s">
        <v>1164</v>
      </c>
      <c r="B116" s="26" t="s">
        <v>459</v>
      </c>
      <c r="C116" s="2">
        <v>19201801098</v>
      </c>
      <c r="D116" s="2">
        <v>17.2</v>
      </c>
      <c r="E116" s="225" t="s">
        <v>419</v>
      </c>
      <c r="F116" s="602" t="s">
        <v>585</v>
      </c>
    </row>
    <row r="117" spans="1:6" x14ac:dyDescent="0.25">
      <c r="A117" s="5" t="s">
        <v>1164</v>
      </c>
      <c r="B117" s="26" t="s">
        <v>459</v>
      </c>
      <c r="C117" s="2">
        <v>19201801089</v>
      </c>
      <c r="D117" s="2">
        <v>17</v>
      </c>
      <c r="E117" s="225" t="s">
        <v>419</v>
      </c>
      <c r="F117" s="602" t="s">
        <v>586</v>
      </c>
    </row>
    <row r="118" spans="1:6" x14ac:dyDescent="0.25">
      <c r="A118" s="5" t="s">
        <v>1164</v>
      </c>
      <c r="B118" s="26" t="s">
        <v>459</v>
      </c>
      <c r="C118" s="2">
        <v>19201801090</v>
      </c>
      <c r="D118" s="2">
        <v>16.8</v>
      </c>
      <c r="E118" s="225" t="s">
        <v>419</v>
      </c>
      <c r="F118" s="602" t="s">
        <v>587</v>
      </c>
    </row>
    <row r="119" spans="1:6" x14ac:dyDescent="0.25">
      <c r="A119" s="5" t="s">
        <v>1164</v>
      </c>
      <c r="B119" s="26" t="s">
        <v>459</v>
      </c>
      <c r="C119" s="2">
        <v>19201801084</v>
      </c>
      <c r="D119" s="2">
        <v>16</v>
      </c>
      <c r="E119" s="225" t="s">
        <v>419</v>
      </c>
      <c r="F119" s="602" t="s">
        <v>588</v>
      </c>
    </row>
    <row r="120" spans="1:6" x14ac:dyDescent="0.25">
      <c r="A120" s="5" t="s">
        <v>1164</v>
      </c>
      <c r="B120" s="26" t="s">
        <v>459</v>
      </c>
      <c r="C120" s="2">
        <v>19201801087</v>
      </c>
      <c r="D120" s="2">
        <v>15.8</v>
      </c>
      <c r="E120" s="225" t="s">
        <v>419</v>
      </c>
      <c r="F120" s="602" t="s">
        <v>589</v>
      </c>
    </row>
    <row r="121" spans="1:6" x14ac:dyDescent="0.25">
      <c r="A121" s="5" t="s">
        <v>1164</v>
      </c>
      <c r="B121" s="26" t="s">
        <v>459</v>
      </c>
      <c r="C121" s="2">
        <v>19201801105</v>
      </c>
      <c r="D121" s="2">
        <v>14.6</v>
      </c>
      <c r="E121" s="226" t="s">
        <v>420</v>
      </c>
      <c r="F121" s="602" t="s">
        <v>590</v>
      </c>
    </row>
    <row r="122" spans="1:6" x14ac:dyDescent="0.25">
      <c r="A122" s="5" t="s">
        <v>1164</v>
      </c>
      <c r="B122" s="26" t="s">
        <v>459</v>
      </c>
      <c r="C122" s="2">
        <v>19201801101</v>
      </c>
      <c r="D122" s="2">
        <v>14.4</v>
      </c>
      <c r="E122" s="226" t="s">
        <v>420</v>
      </c>
      <c r="F122" s="11" t="s">
        <v>591</v>
      </c>
    </row>
    <row r="123" spans="1:6" x14ac:dyDescent="0.25">
      <c r="A123" s="5" t="s">
        <v>1164</v>
      </c>
      <c r="B123" s="26" t="s">
        <v>459</v>
      </c>
      <c r="C123" s="2">
        <v>19201801100</v>
      </c>
      <c r="D123" s="2">
        <v>14.2</v>
      </c>
      <c r="E123" s="226" t="s">
        <v>420</v>
      </c>
      <c r="F123" s="11" t="s">
        <v>592</v>
      </c>
    </row>
    <row r="124" spans="1:6" x14ac:dyDescent="0.25">
      <c r="A124" s="5" t="s">
        <v>1164</v>
      </c>
      <c r="B124" s="26" t="s">
        <v>459</v>
      </c>
      <c r="C124" s="2">
        <v>19201801073</v>
      </c>
      <c r="D124" s="2">
        <v>14</v>
      </c>
      <c r="E124" s="226" t="s">
        <v>420</v>
      </c>
      <c r="F124" s="11" t="s">
        <v>593</v>
      </c>
    </row>
    <row r="125" spans="1:6" x14ac:dyDescent="0.25">
      <c r="A125" s="5" t="s">
        <v>1164</v>
      </c>
      <c r="B125" s="26" t="s">
        <v>459</v>
      </c>
      <c r="C125" s="2">
        <v>19201801093</v>
      </c>
      <c r="D125" s="2">
        <v>14</v>
      </c>
      <c r="E125" s="226" t="s">
        <v>420</v>
      </c>
      <c r="F125" s="11" t="s">
        <v>594</v>
      </c>
    </row>
    <row r="126" spans="1:6" x14ac:dyDescent="0.25">
      <c r="A126" s="371" t="s">
        <v>1168</v>
      </c>
      <c r="B126" s="26" t="s">
        <v>460</v>
      </c>
      <c r="C126" s="2">
        <v>19201801186</v>
      </c>
      <c r="D126" s="2">
        <v>22.4</v>
      </c>
      <c r="E126" s="225" t="s">
        <v>419</v>
      </c>
      <c r="F126" s="602" t="s">
        <v>578</v>
      </c>
    </row>
    <row r="127" spans="1:6" x14ac:dyDescent="0.25">
      <c r="A127" s="371" t="s">
        <v>1168</v>
      </c>
      <c r="B127" s="26" t="s">
        <v>460</v>
      </c>
      <c r="C127" s="2">
        <v>19201801177</v>
      </c>
      <c r="D127" s="2">
        <v>21.8</v>
      </c>
      <c r="E127" s="225" t="s">
        <v>419</v>
      </c>
      <c r="F127" s="602" t="s">
        <v>579</v>
      </c>
    </row>
    <row r="128" spans="1:6" x14ac:dyDescent="0.25">
      <c r="A128" s="371" t="s">
        <v>1168</v>
      </c>
      <c r="B128" s="26" t="s">
        <v>460</v>
      </c>
      <c r="C128" s="2">
        <v>19201801188</v>
      </c>
      <c r="D128" s="2">
        <v>21.6</v>
      </c>
      <c r="E128" s="225" t="s">
        <v>419</v>
      </c>
      <c r="F128" s="602" t="s">
        <v>580</v>
      </c>
    </row>
    <row r="129" spans="1:6" x14ac:dyDescent="0.25">
      <c r="A129" s="371" t="s">
        <v>1168</v>
      </c>
      <c r="B129" s="26" t="s">
        <v>460</v>
      </c>
      <c r="C129" s="2">
        <v>19201801176</v>
      </c>
      <c r="D129" s="2">
        <v>21.4</v>
      </c>
      <c r="E129" s="225" t="s">
        <v>419</v>
      </c>
      <c r="F129" s="602" t="s">
        <v>581</v>
      </c>
    </row>
    <row r="130" spans="1:6" x14ac:dyDescent="0.25">
      <c r="A130" s="371" t="s">
        <v>1168</v>
      </c>
      <c r="B130" s="26" t="s">
        <v>460</v>
      </c>
      <c r="C130" s="2">
        <v>19201801175</v>
      </c>
      <c r="D130" s="2">
        <v>21</v>
      </c>
      <c r="E130" s="225" t="s">
        <v>419</v>
      </c>
      <c r="F130" s="602" t="s">
        <v>582</v>
      </c>
    </row>
    <row r="131" spans="1:6" x14ac:dyDescent="0.25">
      <c r="A131" s="371" t="s">
        <v>1168</v>
      </c>
      <c r="B131" s="26" t="s">
        <v>460</v>
      </c>
      <c r="C131" s="2">
        <v>19201801187</v>
      </c>
      <c r="D131" s="2">
        <v>21</v>
      </c>
      <c r="E131" s="225" t="s">
        <v>419</v>
      </c>
      <c r="F131" s="602" t="s">
        <v>583</v>
      </c>
    </row>
    <row r="132" spans="1:6" x14ac:dyDescent="0.25">
      <c r="A132" s="371" t="s">
        <v>1168</v>
      </c>
      <c r="B132" s="26" t="s">
        <v>460</v>
      </c>
      <c r="C132" s="2">
        <v>19201801184</v>
      </c>
      <c r="D132" s="2">
        <v>20.8</v>
      </c>
      <c r="E132" s="225" t="s">
        <v>419</v>
      </c>
      <c r="F132" s="602" t="s">
        <v>584</v>
      </c>
    </row>
    <row r="133" spans="1:6" x14ac:dyDescent="0.25">
      <c r="A133" s="371" t="s">
        <v>1168</v>
      </c>
      <c r="B133" s="26" t="s">
        <v>460</v>
      </c>
      <c r="C133" s="2">
        <v>19201801181</v>
      </c>
      <c r="D133" s="2">
        <v>20.6</v>
      </c>
      <c r="E133" s="225" t="s">
        <v>419</v>
      </c>
      <c r="F133" s="602" t="s">
        <v>585</v>
      </c>
    </row>
    <row r="134" spans="1:6" x14ac:dyDescent="0.25">
      <c r="A134" s="371" t="s">
        <v>1168</v>
      </c>
      <c r="B134" s="26" t="s">
        <v>460</v>
      </c>
      <c r="C134" s="2">
        <v>19201801183</v>
      </c>
      <c r="D134" s="2">
        <v>20.399999999999999</v>
      </c>
      <c r="E134" s="225" t="s">
        <v>419</v>
      </c>
      <c r="F134" s="602" t="s">
        <v>586</v>
      </c>
    </row>
    <row r="135" spans="1:6" x14ac:dyDescent="0.25">
      <c r="A135" s="371" t="s">
        <v>1168</v>
      </c>
      <c r="B135" s="26" t="s">
        <v>460</v>
      </c>
      <c r="C135" s="2">
        <v>19201801178</v>
      </c>
      <c r="D135" s="2">
        <v>19.8</v>
      </c>
      <c r="E135" s="225" t="s">
        <v>419</v>
      </c>
      <c r="F135" s="602" t="s">
        <v>587</v>
      </c>
    </row>
    <row r="136" spans="1:6" x14ac:dyDescent="0.25">
      <c r="A136" s="371" t="s">
        <v>1168</v>
      </c>
      <c r="B136" s="26" t="s">
        <v>460</v>
      </c>
      <c r="C136" s="2">
        <v>19201801182</v>
      </c>
      <c r="D136" s="2">
        <v>18.8</v>
      </c>
      <c r="E136" s="226" t="s">
        <v>420</v>
      </c>
      <c r="F136" s="602" t="s">
        <v>588</v>
      </c>
    </row>
    <row r="137" spans="1:6" x14ac:dyDescent="0.25">
      <c r="A137" s="371" t="s">
        <v>1168</v>
      </c>
      <c r="B137" s="26" t="s">
        <v>460</v>
      </c>
      <c r="C137" s="2">
        <v>19201801180</v>
      </c>
      <c r="D137" s="2">
        <v>17.2</v>
      </c>
      <c r="E137" s="226" t="s">
        <v>420</v>
      </c>
      <c r="F137" s="602" t="s">
        <v>589</v>
      </c>
    </row>
    <row r="138" spans="1:6" x14ac:dyDescent="0.25">
      <c r="A138" s="371" t="s">
        <v>1221</v>
      </c>
      <c r="B138" s="26" t="s">
        <v>460</v>
      </c>
      <c r="C138" s="2">
        <v>19201901002</v>
      </c>
      <c r="D138" s="2">
        <v>21.4</v>
      </c>
      <c r="E138" s="225" t="s">
        <v>419</v>
      </c>
      <c r="F138" s="602" t="s">
        <v>578</v>
      </c>
    </row>
    <row r="139" spans="1:6" x14ac:dyDescent="0.25">
      <c r="A139" s="371" t="s">
        <v>1221</v>
      </c>
      <c r="B139" s="26" t="s">
        <v>460</v>
      </c>
      <c r="C139" s="2">
        <v>19201901006</v>
      </c>
      <c r="D139" s="2">
        <v>21.4</v>
      </c>
      <c r="E139" s="225" t="s">
        <v>419</v>
      </c>
      <c r="F139" s="602" t="s">
        <v>579</v>
      </c>
    </row>
    <row r="140" spans="1:6" x14ac:dyDescent="0.25">
      <c r="A140" s="371" t="s">
        <v>1221</v>
      </c>
      <c r="B140" s="26" t="s">
        <v>460</v>
      </c>
      <c r="C140" s="2">
        <v>19201901005</v>
      </c>
      <c r="D140" s="2">
        <v>21</v>
      </c>
      <c r="E140" s="225" t="s">
        <v>419</v>
      </c>
      <c r="F140" s="602" t="s">
        <v>580</v>
      </c>
    </row>
    <row r="141" spans="1:6" x14ac:dyDescent="0.25">
      <c r="A141" s="371" t="s">
        <v>1221</v>
      </c>
      <c r="B141" s="26" t="s">
        <v>460</v>
      </c>
      <c r="C141" s="2">
        <v>19201901012</v>
      </c>
      <c r="D141" s="2">
        <v>20.6</v>
      </c>
      <c r="E141" s="225" t="s">
        <v>419</v>
      </c>
      <c r="F141" s="602" t="s">
        <v>581</v>
      </c>
    </row>
    <row r="142" spans="1:6" x14ac:dyDescent="0.25">
      <c r="A142" s="371" t="s">
        <v>1221</v>
      </c>
      <c r="B142" s="26" t="s">
        <v>460</v>
      </c>
      <c r="C142" s="2">
        <v>19201900993</v>
      </c>
      <c r="D142" s="2">
        <v>19.399999999999999</v>
      </c>
      <c r="E142" s="225" t="s">
        <v>419</v>
      </c>
      <c r="F142" s="602" t="s">
        <v>582</v>
      </c>
    </row>
    <row r="143" spans="1:6" x14ac:dyDescent="0.25">
      <c r="A143" s="371" t="s">
        <v>1221</v>
      </c>
      <c r="B143" s="26" t="s">
        <v>460</v>
      </c>
      <c r="C143" s="2">
        <v>19201901008</v>
      </c>
      <c r="D143" s="2">
        <v>19.2</v>
      </c>
      <c r="E143" s="225" t="s">
        <v>419</v>
      </c>
      <c r="F143" s="602" t="s">
        <v>583</v>
      </c>
    </row>
    <row r="144" spans="1:6" x14ac:dyDescent="0.25">
      <c r="A144" s="371" t="s">
        <v>1221</v>
      </c>
      <c r="B144" s="26" t="s">
        <v>460</v>
      </c>
      <c r="C144" s="2">
        <v>19201900995</v>
      </c>
      <c r="D144" s="2">
        <v>17.8</v>
      </c>
      <c r="E144" s="225" t="s">
        <v>419</v>
      </c>
      <c r="F144" s="602" t="s">
        <v>584</v>
      </c>
    </row>
    <row r="145" spans="1:6" x14ac:dyDescent="0.25">
      <c r="A145" s="371" t="s">
        <v>1221</v>
      </c>
      <c r="B145" s="26" t="s">
        <v>460</v>
      </c>
      <c r="C145" s="2">
        <v>19201901013</v>
      </c>
      <c r="D145" s="2">
        <v>17.600000000000001</v>
      </c>
      <c r="E145" s="225" t="s">
        <v>419</v>
      </c>
      <c r="F145" s="602" t="s">
        <v>585</v>
      </c>
    </row>
    <row r="146" spans="1:6" x14ac:dyDescent="0.25">
      <c r="A146" s="371" t="s">
        <v>1221</v>
      </c>
      <c r="B146" s="26" t="s">
        <v>460</v>
      </c>
      <c r="C146" s="2">
        <v>19201901010</v>
      </c>
      <c r="D146" s="2">
        <v>16.399999999999999</v>
      </c>
      <c r="E146" s="226" t="s">
        <v>420</v>
      </c>
      <c r="F146" s="602" t="s">
        <v>586</v>
      </c>
    </row>
    <row r="147" spans="1:6" x14ac:dyDescent="0.25">
      <c r="A147" s="371" t="s">
        <v>1221</v>
      </c>
      <c r="B147" s="26" t="s">
        <v>460</v>
      </c>
      <c r="C147" s="2">
        <v>19201901011</v>
      </c>
      <c r="D147" s="2">
        <v>14.8</v>
      </c>
      <c r="E147" s="226" t="s">
        <v>420</v>
      </c>
      <c r="F147" s="602" t="s">
        <v>587</v>
      </c>
    </row>
    <row r="148" spans="1:6" x14ac:dyDescent="0.25">
      <c r="A148" s="371" t="s">
        <v>1221</v>
      </c>
      <c r="B148" s="26" t="s">
        <v>460</v>
      </c>
      <c r="C148" s="2">
        <v>19201901007</v>
      </c>
      <c r="D148" s="2">
        <v>14.6</v>
      </c>
      <c r="E148" s="226" t="s">
        <v>420</v>
      </c>
      <c r="F148" s="602" t="s">
        <v>588</v>
      </c>
    </row>
    <row r="149" spans="1:6" x14ac:dyDescent="0.25">
      <c r="A149" s="371" t="s">
        <v>1221</v>
      </c>
      <c r="B149" s="26" t="s">
        <v>460</v>
      </c>
      <c r="C149" s="2">
        <v>19201901003</v>
      </c>
      <c r="D149" s="2">
        <v>13</v>
      </c>
      <c r="E149" s="226" t="s">
        <v>420</v>
      </c>
      <c r="F149" s="602" t="s">
        <v>589</v>
      </c>
    </row>
    <row r="150" spans="1:6" x14ac:dyDescent="0.25">
      <c r="A150" s="371" t="s">
        <v>1221</v>
      </c>
      <c r="B150" s="26" t="s">
        <v>460</v>
      </c>
      <c r="C150" s="2">
        <v>19201901014</v>
      </c>
      <c r="D150" s="2">
        <v>13</v>
      </c>
      <c r="E150" s="226" t="s">
        <v>420</v>
      </c>
      <c r="F150" s="731" t="s">
        <v>590</v>
      </c>
    </row>
    <row r="151" spans="1:6" x14ac:dyDescent="0.25">
      <c r="A151" s="371" t="s">
        <v>1222</v>
      </c>
      <c r="B151" s="26" t="s">
        <v>459</v>
      </c>
      <c r="C151" s="2">
        <v>19201900853</v>
      </c>
      <c r="D151" s="2">
        <v>23.6</v>
      </c>
      <c r="E151" s="225" t="s">
        <v>419</v>
      </c>
      <c r="F151" s="602" t="s">
        <v>578</v>
      </c>
    </row>
    <row r="152" spans="1:6" x14ac:dyDescent="0.25">
      <c r="A152" s="371" t="s">
        <v>1222</v>
      </c>
      <c r="B152" s="26" t="s">
        <v>459</v>
      </c>
      <c r="C152" s="2">
        <v>19201900822</v>
      </c>
      <c r="D152" s="2">
        <v>19.600000000000001</v>
      </c>
      <c r="E152" s="225" t="s">
        <v>419</v>
      </c>
      <c r="F152" s="602" t="s">
        <v>579</v>
      </c>
    </row>
    <row r="153" spans="1:6" x14ac:dyDescent="0.25">
      <c r="A153" s="371" t="s">
        <v>1222</v>
      </c>
      <c r="B153" s="26" t="s">
        <v>459</v>
      </c>
      <c r="C153" s="2">
        <v>19201900824</v>
      </c>
      <c r="D153" s="2">
        <v>19.600000000000001</v>
      </c>
      <c r="E153" s="225" t="s">
        <v>419</v>
      </c>
      <c r="F153" s="602" t="s">
        <v>580</v>
      </c>
    </row>
    <row r="154" spans="1:6" x14ac:dyDescent="0.25">
      <c r="A154" s="371" t="s">
        <v>1222</v>
      </c>
      <c r="B154" s="26" t="s">
        <v>459</v>
      </c>
      <c r="C154" s="2">
        <v>19201900819</v>
      </c>
      <c r="D154" s="2">
        <v>19</v>
      </c>
      <c r="E154" s="225" t="s">
        <v>419</v>
      </c>
      <c r="F154" s="602" t="s">
        <v>581</v>
      </c>
    </row>
    <row r="155" spans="1:6" x14ac:dyDescent="0.25">
      <c r="A155" s="371" t="s">
        <v>1222</v>
      </c>
      <c r="B155" s="26" t="s">
        <v>459</v>
      </c>
      <c r="C155" s="2">
        <v>19201900855</v>
      </c>
      <c r="D155" s="2">
        <v>19</v>
      </c>
      <c r="E155" s="225" t="s">
        <v>419</v>
      </c>
      <c r="F155" s="602" t="s">
        <v>582</v>
      </c>
    </row>
    <row r="156" spans="1:6" x14ac:dyDescent="0.25">
      <c r="A156" s="371" t="s">
        <v>1222</v>
      </c>
      <c r="B156" s="26" t="s">
        <v>459</v>
      </c>
      <c r="C156" s="2">
        <v>19201900859</v>
      </c>
      <c r="D156" s="2">
        <v>17.8</v>
      </c>
      <c r="E156" s="225" t="s">
        <v>419</v>
      </c>
      <c r="F156" s="602" t="s">
        <v>583</v>
      </c>
    </row>
    <row r="157" spans="1:6" x14ac:dyDescent="0.25">
      <c r="A157" s="371" t="s">
        <v>1222</v>
      </c>
      <c r="B157" s="26" t="s">
        <v>459</v>
      </c>
      <c r="C157" s="2">
        <v>19201900813</v>
      </c>
      <c r="D157" s="2">
        <v>17.600000000000001</v>
      </c>
      <c r="E157" s="225" t="s">
        <v>419</v>
      </c>
      <c r="F157" s="602" t="s">
        <v>584</v>
      </c>
    </row>
    <row r="158" spans="1:6" x14ac:dyDescent="0.25">
      <c r="A158" s="371" t="s">
        <v>1222</v>
      </c>
      <c r="B158" s="26" t="s">
        <v>459</v>
      </c>
      <c r="C158" s="2">
        <v>19201900804</v>
      </c>
      <c r="D158" s="2">
        <v>17</v>
      </c>
      <c r="E158" s="225" t="s">
        <v>419</v>
      </c>
      <c r="F158" s="602" t="s">
        <v>585</v>
      </c>
    </row>
    <row r="159" spans="1:6" x14ac:dyDescent="0.25">
      <c r="A159" s="371" t="s">
        <v>1222</v>
      </c>
      <c r="B159" s="26" t="s">
        <v>459</v>
      </c>
      <c r="C159" s="2">
        <v>19201900867</v>
      </c>
      <c r="D159" s="2">
        <v>17</v>
      </c>
      <c r="E159" s="225" t="s">
        <v>419</v>
      </c>
      <c r="F159" s="602" t="s">
        <v>586</v>
      </c>
    </row>
    <row r="160" spans="1:6" x14ac:dyDescent="0.25">
      <c r="A160" s="371" t="s">
        <v>1222</v>
      </c>
      <c r="B160" s="26" t="s">
        <v>459</v>
      </c>
      <c r="C160" s="2">
        <v>19201900809</v>
      </c>
      <c r="D160" s="2">
        <v>16.600000000000001</v>
      </c>
      <c r="E160" s="225" t="s">
        <v>419</v>
      </c>
      <c r="F160" s="602" t="s">
        <v>587</v>
      </c>
    </row>
    <row r="161" spans="1:6" x14ac:dyDescent="0.25">
      <c r="A161" s="371" t="s">
        <v>1222</v>
      </c>
      <c r="B161" s="26" t="s">
        <v>459</v>
      </c>
      <c r="C161" s="2">
        <v>19201900823</v>
      </c>
      <c r="D161" s="2">
        <v>16.600000000000001</v>
      </c>
      <c r="E161" s="225" t="s">
        <v>419</v>
      </c>
      <c r="F161" s="602" t="s">
        <v>588</v>
      </c>
    </row>
    <row r="162" spans="1:6" x14ac:dyDescent="0.25">
      <c r="A162" s="371" t="s">
        <v>1222</v>
      </c>
      <c r="B162" s="26" t="s">
        <v>459</v>
      </c>
      <c r="C162" s="2">
        <v>19201900844</v>
      </c>
      <c r="D162" s="2">
        <v>16</v>
      </c>
      <c r="E162" s="225" t="s">
        <v>419</v>
      </c>
      <c r="F162" s="602" t="s">
        <v>589</v>
      </c>
    </row>
    <row r="163" spans="1:6" x14ac:dyDescent="0.25">
      <c r="A163" s="371" t="s">
        <v>1222</v>
      </c>
      <c r="B163" s="26" t="s">
        <v>459</v>
      </c>
      <c r="C163" s="2">
        <v>19201900829</v>
      </c>
      <c r="D163" s="2">
        <v>15.4</v>
      </c>
      <c r="E163" s="225" t="s">
        <v>419</v>
      </c>
      <c r="F163" s="602" t="s">
        <v>590</v>
      </c>
    </row>
    <row r="164" spans="1:6" x14ac:dyDescent="0.25">
      <c r="A164" s="489" t="s">
        <v>1222</v>
      </c>
      <c r="B164" s="375" t="s">
        <v>459</v>
      </c>
      <c r="C164" s="179">
        <v>19201900843</v>
      </c>
      <c r="D164" s="179">
        <v>14</v>
      </c>
      <c r="E164" s="383" t="s">
        <v>420</v>
      </c>
      <c r="F164" s="794" t="s">
        <v>591</v>
      </c>
    </row>
    <row r="165" spans="1:6" x14ac:dyDescent="0.25">
      <c r="A165" s="181" t="s">
        <v>1270</v>
      </c>
      <c r="B165" s="342" t="s">
        <v>459</v>
      </c>
      <c r="C165" s="795">
        <v>19202000783</v>
      </c>
      <c r="D165" s="797">
        <v>19.600000000000001</v>
      </c>
      <c r="E165" s="306" t="s">
        <v>419</v>
      </c>
      <c r="F165" s="309" t="s">
        <v>578</v>
      </c>
    </row>
    <row r="166" spans="1:6" x14ac:dyDescent="0.25">
      <c r="A166" s="181" t="s">
        <v>1270</v>
      </c>
      <c r="B166" s="342" t="s">
        <v>459</v>
      </c>
      <c r="C166" s="795">
        <v>19202000811</v>
      </c>
      <c r="D166" s="796">
        <v>19.600000000000001</v>
      </c>
      <c r="E166" s="306" t="s">
        <v>419</v>
      </c>
      <c r="F166" s="309" t="s">
        <v>579</v>
      </c>
    </row>
    <row r="167" spans="1:6" x14ac:dyDescent="0.25">
      <c r="A167" s="181" t="s">
        <v>1270</v>
      </c>
      <c r="B167" s="342" t="s">
        <v>459</v>
      </c>
      <c r="C167" s="743">
        <v>19202000809</v>
      </c>
      <c r="D167" s="796">
        <v>19.399999999999999</v>
      </c>
      <c r="E167" s="306" t="s">
        <v>419</v>
      </c>
      <c r="F167" s="309" t="s">
        <v>580</v>
      </c>
    </row>
    <row r="168" spans="1:6" x14ac:dyDescent="0.25">
      <c r="A168" s="181" t="s">
        <v>1270</v>
      </c>
      <c r="B168" s="342" t="s">
        <v>459</v>
      </c>
      <c r="C168" s="743">
        <v>19202000807</v>
      </c>
      <c r="D168" s="796">
        <v>17.600000000000001</v>
      </c>
      <c r="E168" s="306" t="s">
        <v>419</v>
      </c>
      <c r="F168" s="309" t="s">
        <v>581</v>
      </c>
    </row>
    <row r="169" spans="1:6" x14ac:dyDescent="0.25">
      <c r="A169" s="181" t="s">
        <v>1270</v>
      </c>
      <c r="B169" s="342" t="s">
        <v>459</v>
      </c>
      <c r="C169" s="743">
        <v>19202000802</v>
      </c>
      <c r="D169" s="796">
        <v>17.399999999999999</v>
      </c>
      <c r="E169" s="306" t="s">
        <v>419</v>
      </c>
      <c r="F169" s="309" t="s">
        <v>582</v>
      </c>
    </row>
    <row r="170" spans="1:6" x14ac:dyDescent="0.25">
      <c r="A170" s="181" t="s">
        <v>1270</v>
      </c>
      <c r="B170" s="342" t="s">
        <v>459</v>
      </c>
      <c r="C170" s="743">
        <v>19202000806</v>
      </c>
      <c r="D170" s="796">
        <v>17.399999999999999</v>
      </c>
      <c r="E170" s="306" t="s">
        <v>419</v>
      </c>
      <c r="F170" s="309" t="s">
        <v>583</v>
      </c>
    </row>
    <row r="171" spans="1:6" x14ac:dyDescent="0.25">
      <c r="A171" s="181" t="s">
        <v>1270</v>
      </c>
      <c r="B171" s="342" t="s">
        <v>459</v>
      </c>
      <c r="C171" s="743">
        <v>19202000810</v>
      </c>
      <c r="D171" s="796">
        <v>15.8</v>
      </c>
      <c r="E171" s="306" t="s">
        <v>419</v>
      </c>
      <c r="F171" s="309" t="s">
        <v>584</v>
      </c>
    </row>
    <row r="172" spans="1:6" x14ac:dyDescent="0.25">
      <c r="A172" s="181" t="s">
        <v>1270</v>
      </c>
      <c r="B172" s="342" t="s">
        <v>459</v>
      </c>
      <c r="C172" s="743">
        <v>19202000795</v>
      </c>
      <c r="D172" s="796">
        <v>15.6</v>
      </c>
      <c r="E172" s="306" t="s">
        <v>419</v>
      </c>
      <c r="F172" s="309" t="s">
        <v>585</v>
      </c>
    </row>
    <row r="173" spans="1:6" x14ac:dyDescent="0.25">
      <c r="A173" s="181" t="s">
        <v>1270</v>
      </c>
      <c r="B173" s="342" t="s">
        <v>459</v>
      </c>
      <c r="C173" s="743">
        <v>19202000808</v>
      </c>
      <c r="D173" s="796">
        <v>15.6</v>
      </c>
      <c r="E173" s="306" t="s">
        <v>419</v>
      </c>
      <c r="F173" s="309" t="s">
        <v>586</v>
      </c>
    </row>
    <row r="174" spans="1:6" x14ac:dyDescent="0.25">
      <c r="A174" s="181" t="s">
        <v>1270</v>
      </c>
      <c r="B174" s="342" t="s">
        <v>459</v>
      </c>
      <c r="C174" s="743">
        <v>19202000814</v>
      </c>
      <c r="D174" s="796">
        <v>15.2</v>
      </c>
      <c r="E174" s="306" t="s">
        <v>419</v>
      </c>
      <c r="F174" s="309" t="s">
        <v>587</v>
      </c>
    </row>
    <row r="175" spans="1:6" x14ac:dyDescent="0.25">
      <c r="A175" s="181" t="s">
        <v>1270</v>
      </c>
      <c r="B175" s="342" t="s">
        <v>459</v>
      </c>
      <c r="C175" s="743">
        <v>19202000805</v>
      </c>
      <c r="D175" s="796">
        <v>15</v>
      </c>
      <c r="E175" s="306" t="s">
        <v>419</v>
      </c>
      <c r="F175" s="309" t="s">
        <v>588</v>
      </c>
    </row>
    <row r="176" spans="1:6" x14ac:dyDescent="0.25">
      <c r="A176" s="181" t="s">
        <v>1270</v>
      </c>
      <c r="B176" s="342" t="s">
        <v>459</v>
      </c>
      <c r="C176" s="743">
        <v>19202000784</v>
      </c>
      <c r="D176" s="796">
        <v>14.8</v>
      </c>
      <c r="E176" s="306" t="s">
        <v>419</v>
      </c>
      <c r="F176" s="309" t="s">
        <v>589</v>
      </c>
    </row>
    <row r="177" spans="1:6" x14ac:dyDescent="0.25">
      <c r="A177" s="361" t="s">
        <v>1270</v>
      </c>
      <c r="B177" s="354" t="s">
        <v>459</v>
      </c>
      <c r="C177" s="760">
        <v>19202000804</v>
      </c>
      <c r="D177" s="803">
        <v>14</v>
      </c>
      <c r="E177" s="798" t="s">
        <v>419</v>
      </c>
      <c r="F177" s="389" t="s">
        <v>590</v>
      </c>
    </row>
    <row r="178" spans="1:6" x14ac:dyDescent="0.25">
      <c r="A178" s="799" t="s">
        <v>1270</v>
      </c>
      <c r="B178" s="800" t="s">
        <v>460</v>
      </c>
      <c r="C178" s="754">
        <v>19202000798</v>
      </c>
      <c r="D178" s="761">
        <v>21.6</v>
      </c>
      <c r="E178" s="801" t="s">
        <v>419</v>
      </c>
      <c r="F178" s="618" t="s">
        <v>578</v>
      </c>
    </row>
    <row r="179" spans="1:6" x14ac:dyDescent="0.25">
      <c r="A179" s="799" t="s">
        <v>1270</v>
      </c>
      <c r="B179" s="800" t="s">
        <v>460</v>
      </c>
      <c r="C179" s="753">
        <v>19202000785</v>
      </c>
      <c r="D179" s="764">
        <v>20.399999999999999</v>
      </c>
      <c r="E179" s="801" t="s">
        <v>419</v>
      </c>
      <c r="F179" s="618" t="s">
        <v>579</v>
      </c>
    </row>
    <row r="180" spans="1:6" x14ac:dyDescent="0.25">
      <c r="A180" s="799" t="s">
        <v>1270</v>
      </c>
      <c r="B180" s="800" t="s">
        <v>460</v>
      </c>
      <c r="C180" s="753">
        <v>19202000789</v>
      </c>
      <c r="D180" s="764">
        <v>20.2</v>
      </c>
      <c r="E180" s="801" t="s">
        <v>419</v>
      </c>
      <c r="F180" s="618" t="s">
        <v>580</v>
      </c>
    </row>
    <row r="181" spans="1:6" x14ac:dyDescent="0.25">
      <c r="A181" s="799" t="s">
        <v>1270</v>
      </c>
      <c r="B181" s="800" t="s">
        <v>460</v>
      </c>
      <c r="C181" s="753">
        <v>19202000794</v>
      </c>
      <c r="D181" s="764">
        <v>19.8</v>
      </c>
      <c r="E181" s="801" t="s">
        <v>419</v>
      </c>
      <c r="F181" s="618" t="s">
        <v>581</v>
      </c>
    </row>
    <row r="182" spans="1:6" x14ac:dyDescent="0.25">
      <c r="A182" s="799" t="s">
        <v>1270</v>
      </c>
      <c r="B182" s="800" t="s">
        <v>460</v>
      </c>
      <c r="C182" s="753">
        <v>19202000800</v>
      </c>
      <c r="D182" s="764">
        <v>19.8</v>
      </c>
      <c r="E182" s="801" t="s">
        <v>419</v>
      </c>
      <c r="F182" s="618" t="s">
        <v>582</v>
      </c>
    </row>
    <row r="183" spans="1:6" x14ac:dyDescent="0.25">
      <c r="A183" s="799" t="s">
        <v>1270</v>
      </c>
      <c r="B183" s="800" t="s">
        <v>460</v>
      </c>
      <c r="C183" s="753">
        <v>19202000792</v>
      </c>
      <c r="D183" s="764">
        <v>19.600000000000001</v>
      </c>
      <c r="E183" s="801" t="s">
        <v>419</v>
      </c>
      <c r="F183" s="618" t="s">
        <v>583</v>
      </c>
    </row>
    <row r="184" spans="1:6" x14ac:dyDescent="0.25">
      <c r="A184" s="799" t="s">
        <v>1270</v>
      </c>
      <c r="B184" s="800" t="s">
        <v>460</v>
      </c>
      <c r="C184" s="753">
        <v>19202000803</v>
      </c>
      <c r="D184" s="764">
        <v>19.600000000000001</v>
      </c>
      <c r="E184" s="801" t="s">
        <v>419</v>
      </c>
      <c r="F184" s="618" t="s">
        <v>584</v>
      </c>
    </row>
    <row r="185" spans="1:6" x14ac:dyDescent="0.25">
      <c r="A185" s="799" t="s">
        <v>1270</v>
      </c>
      <c r="B185" s="800" t="s">
        <v>460</v>
      </c>
      <c r="C185" s="753">
        <v>19202000786</v>
      </c>
      <c r="D185" s="764">
        <v>19.399999999999999</v>
      </c>
      <c r="E185" s="801" t="s">
        <v>419</v>
      </c>
      <c r="F185" s="618" t="s">
        <v>585</v>
      </c>
    </row>
    <row r="186" spans="1:6" x14ac:dyDescent="0.25">
      <c r="A186" s="799" t="s">
        <v>1270</v>
      </c>
      <c r="B186" s="800" t="s">
        <v>460</v>
      </c>
      <c r="C186" s="753">
        <v>19202000791</v>
      </c>
      <c r="D186" s="764">
        <v>19</v>
      </c>
      <c r="E186" s="801" t="s">
        <v>419</v>
      </c>
      <c r="F186" s="618" t="s">
        <v>586</v>
      </c>
    </row>
    <row r="187" spans="1:6" x14ac:dyDescent="0.25">
      <c r="A187" s="799" t="s">
        <v>1270</v>
      </c>
      <c r="B187" s="800" t="s">
        <v>460</v>
      </c>
      <c r="C187" s="753">
        <v>19202000788</v>
      </c>
      <c r="D187" s="764">
        <v>18.600000000000001</v>
      </c>
      <c r="E187" s="801" t="s">
        <v>419</v>
      </c>
      <c r="F187" s="618" t="s">
        <v>587</v>
      </c>
    </row>
    <row r="188" spans="1:6" x14ac:dyDescent="0.25">
      <c r="A188" s="799" t="s">
        <v>1270</v>
      </c>
      <c r="B188" s="800" t="s">
        <v>460</v>
      </c>
      <c r="C188" s="753">
        <v>19202000799</v>
      </c>
      <c r="D188" s="764">
        <v>18.600000000000001</v>
      </c>
      <c r="E188" s="801" t="s">
        <v>419</v>
      </c>
      <c r="F188" s="618" t="s">
        <v>588</v>
      </c>
    </row>
    <row r="189" spans="1:6" x14ac:dyDescent="0.25">
      <c r="A189" s="799" t="s">
        <v>1270</v>
      </c>
      <c r="B189" s="800" t="s">
        <v>460</v>
      </c>
      <c r="C189" s="753">
        <v>19202000790</v>
      </c>
      <c r="D189" s="764">
        <v>18.2</v>
      </c>
      <c r="E189" s="801" t="s">
        <v>419</v>
      </c>
      <c r="F189" s="618" t="s">
        <v>589</v>
      </c>
    </row>
    <row r="190" spans="1:6" x14ac:dyDescent="0.25">
      <c r="A190" s="799" t="s">
        <v>1270</v>
      </c>
      <c r="B190" s="800" t="s">
        <v>460</v>
      </c>
      <c r="C190" s="754">
        <v>19202000801</v>
      </c>
      <c r="D190" s="761">
        <v>17.8</v>
      </c>
      <c r="E190" s="802" t="s">
        <v>420</v>
      </c>
      <c r="F190" s="618" t="s">
        <v>590</v>
      </c>
    </row>
    <row r="191" spans="1:6" x14ac:dyDescent="0.25">
      <c r="A191" s="799" t="s">
        <v>1270</v>
      </c>
      <c r="B191" s="800" t="s">
        <v>460</v>
      </c>
      <c r="C191" s="754">
        <v>19202000787</v>
      </c>
      <c r="D191" s="761">
        <v>17.2</v>
      </c>
      <c r="E191" s="802" t="s">
        <v>420</v>
      </c>
      <c r="F191" s="618" t="s">
        <v>591</v>
      </c>
    </row>
    <row r="192" spans="1:6" x14ac:dyDescent="0.25">
      <c r="A192" s="799" t="s">
        <v>1270</v>
      </c>
      <c r="B192" s="800" t="s">
        <v>460</v>
      </c>
      <c r="C192" s="754">
        <v>19202000797</v>
      </c>
      <c r="D192" s="761">
        <v>15.8</v>
      </c>
      <c r="E192" s="802" t="s">
        <v>420</v>
      </c>
      <c r="F192" s="618" t="s">
        <v>592</v>
      </c>
    </row>
    <row r="193" spans="1:6" x14ac:dyDescent="0.25">
      <c r="A193" s="179" t="s">
        <v>1355</v>
      </c>
      <c r="B193" s="179" t="s">
        <v>1356</v>
      </c>
      <c r="C193" s="647">
        <v>19202100697</v>
      </c>
      <c r="D193" s="647">
        <v>15</v>
      </c>
      <c r="E193" s="821" t="s">
        <v>419</v>
      </c>
      <c r="F193" s="841" t="s">
        <v>578</v>
      </c>
    </row>
    <row r="194" spans="1:6" x14ac:dyDescent="0.25">
      <c r="A194" s="2" t="s">
        <v>1355</v>
      </c>
      <c r="B194" s="2" t="s">
        <v>1356</v>
      </c>
      <c r="C194" s="2">
        <v>19202100742</v>
      </c>
      <c r="D194" s="2">
        <v>14.8</v>
      </c>
      <c r="E194" s="801" t="s">
        <v>419</v>
      </c>
      <c r="F194" s="618" t="s">
        <v>579</v>
      </c>
    </row>
    <row r="195" spans="1:6" x14ac:dyDescent="0.25">
      <c r="A195" s="2" t="s">
        <v>1355</v>
      </c>
      <c r="B195" s="2" t="s">
        <v>1356</v>
      </c>
      <c r="C195" s="2">
        <v>19202100746</v>
      </c>
      <c r="D195" s="2">
        <v>14.8</v>
      </c>
      <c r="E195" s="801" t="s">
        <v>419</v>
      </c>
      <c r="F195" s="618" t="s">
        <v>580</v>
      </c>
    </row>
    <row r="196" spans="1:6" x14ac:dyDescent="0.25">
      <c r="A196" s="2" t="s">
        <v>1355</v>
      </c>
      <c r="B196" s="2" t="s">
        <v>1356</v>
      </c>
      <c r="C196" s="2">
        <v>19202100724</v>
      </c>
      <c r="D196" s="2">
        <v>14.4</v>
      </c>
      <c r="E196" s="801" t="s">
        <v>419</v>
      </c>
      <c r="F196" s="618" t="s">
        <v>581</v>
      </c>
    </row>
    <row r="197" spans="1:6" x14ac:dyDescent="0.25">
      <c r="A197" s="2" t="s">
        <v>1355</v>
      </c>
      <c r="B197" s="2" t="s">
        <v>1356</v>
      </c>
      <c r="C197" s="2">
        <v>19202100740</v>
      </c>
      <c r="D197" s="2">
        <v>13.8</v>
      </c>
      <c r="E197" s="801" t="s">
        <v>419</v>
      </c>
      <c r="F197" s="618" t="s">
        <v>582</v>
      </c>
    </row>
    <row r="198" spans="1:6" x14ac:dyDescent="0.25">
      <c r="A198" s="2" t="s">
        <v>1355</v>
      </c>
      <c r="B198" s="2" t="s">
        <v>1356</v>
      </c>
      <c r="C198" s="2">
        <v>19202100719</v>
      </c>
      <c r="D198" s="2">
        <v>12.4</v>
      </c>
      <c r="E198" s="801" t="s">
        <v>419</v>
      </c>
      <c r="F198" s="618" t="s">
        <v>583</v>
      </c>
    </row>
    <row r="199" spans="1:6" x14ac:dyDescent="0.25">
      <c r="A199" s="2" t="s">
        <v>1355</v>
      </c>
      <c r="B199" s="2" t="s">
        <v>1357</v>
      </c>
      <c r="C199" s="2">
        <v>19202100715</v>
      </c>
      <c r="D199" s="2">
        <v>16</v>
      </c>
      <c r="E199" s="801" t="s">
        <v>419</v>
      </c>
      <c r="F199" s="618" t="s">
        <v>578</v>
      </c>
    </row>
    <row r="200" spans="1:6" x14ac:dyDescent="0.25">
      <c r="A200" s="2" t="s">
        <v>1355</v>
      </c>
      <c r="B200" s="2" t="s">
        <v>1357</v>
      </c>
      <c r="C200" s="2">
        <v>19202100741</v>
      </c>
      <c r="D200" s="2">
        <v>14.4</v>
      </c>
      <c r="E200" s="801" t="s">
        <v>419</v>
      </c>
      <c r="F200" s="618" t="s">
        <v>579</v>
      </c>
    </row>
    <row r="201" spans="1:6" x14ac:dyDescent="0.25">
      <c r="A201" s="2" t="s">
        <v>1355</v>
      </c>
      <c r="B201" s="2" t="s">
        <v>1357</v>
      </c>
      <c r="C201" s="2">
        <v>19202100744</v>
      </c>
      <c r="D201" s="2">
        <v>14.4</v>
      </c>
      <c r="E201" s="801" t="s">
        <v>419</v>
      </c>
      <c r="F201" s="618" t="s">
        <v>580</v>
      </c>
    </row>
    <row r="202" spans="1:6" x14ac:dyDescent="0.25">
      <c r="A202" s="2" t="s">
        <v>1355</v>
      </c>
      <c r="B202" s="2" t="s">
        <v>1357</v>
      </c>
      <c r="C202" s="2">
        <v>19202100736</v>
      </c>
      <c r="D202" s="2">
        <v>14.2</v>
      </c>
      <c r="E202" s="801" t="s">
        <v>419</v>
      </c>
      <c r="F202" s="618" t="s">
        <v>581</v>
      </c>
    </row>
    <row r="203" spans="1:6" x14ac:dyDescent="0.25">
      <c r="A203" s="2" t="s">
        <v>1355</v>
      </c>
      <c r="B203" s="2" t="s">
        <v>1357</v>
      </c>
      <c r="C203" s="2">
        <v>19202100747</v>
      </c>
      <c r="D203" s="2">
        <v>13.2</v>
      </c>
      <c r="E203" s="801" t="s">
        <v>419</v>
      </c>
      <c r="F203" s="618" t="s">
        <v>582</v>
      </c>
    </row>
    <row r="204" spans="1:6" x14ac:dyDescent="0.25">
      <c r="A204" t="s">
        <v>1398</v>
      </c>
      <c r="B204" t="s">
        <v>1397</v>
      </c>
      <c r="C204" s="647">
        <v>19202100980</v>
      </c>
      <c r="D204" s="647">
        <v>22.2</v>
      </c>
      <c r="E204" s="801" t="s">
        <v>419</v>
      </c>
      <c r="F204" s="20" t="s">
        <v>578</v>
      </c>
    </row>
    <row r="205" spans="1:6" x14ac:dyDescent="0.25">
      <c r="A205" s="647" t="s">
        <v>1398</v>
      </c>
      <c r="B205" s="647" t="s">
        <v>1397</v>
      </c>
      <c r="C205" s="647">
        <v>19202100885</v>
      </c>
      <c r="D205" s="647">
        <v>20</v>
      </c>
      <c r="E205" s="801" t="s">
        <v>419</v>
      </c>
      <c r="F205" s="842" t="s">
        <v>579</v>
      </c>
    </row>
    <row r="206" spans="1:6" x14ac:dyDescent="0.25">
      <c r="A206" s="647" t="s">
        <v>1398</v>
      </c>
      <c r="B206" s="647" t="s">
        <v>1397</v>
      </c>
      <c r="C206" s="647">
        <v>19202100932</v>
      </c>
      <c r="D206" s="647">
        <v>19.8</v>
      </c>
      <c r="E206" s="801" t="s">
        <v>419</v>
      </c>
      <c r="F206" s="842" t="s">
        <v>580</v>
      </c>
    </row>
    <row r="207" spans="1:6" x14ac:dyDescent="0.25">
      <c r="A207" s="647" t="s">
        <v>1398</v>
      </c>
      <c r="B207" s="647" t="s">
        <v>1397</v>
      </c>
      <c r="C207" s="647">
        <v>19202101010</v>
      </c>
      <c r="D207" s="647">
        <v>19.600000000000001</v>
      </c>
      <c r="E207" s="801" t="s">
        <v>419</v>
      </c>
      <c r="F207" s="842" t="s">
        <v>581</v>
      </c>
    </row>
    <row r="208" spans="1:6" x14ac:dyDescent="0.25">
      <c r="A208" s="647" t="s">
        <v>1398</v>
      </c>
      <c r="B208" s="647" t="s">
        <v>1397</v>
      </c>
      <c r="C208" s="647">
        <v>19202100944</v>
      </c>
      <c r="D208" s="647">
        <v>19.399999999999999</v>
      </c>
      <c r="E208" s="801" t="s">
        <v>419</v>
      </c>
      <c r="F208" s="842" t="s">
        <v>582</v>
      </c>
    </row>
    <row r="209" spans="1:6" x14ac:dyDescent="0.25">
      <c r="A209" s="647" t="s">
        <v>1398</v>
      </c>
      <c r="B209" s="647" t="s">
        <v>1397</v>
      </c>
      <c r="C209" s="647">
        <v>19202100986</v>
      </c>
      <c r="D209" s="647">
        <v>19</v>
      </c>
      <c r="E209" s="801" t="s">
        <v>419</v>
      </c>
      <c r="F209" s="842" t="s">
        <v>583</v>
      </c>
    </row>
    <row r="210" spans="1:6" x14ac:dyDescent="0.25">
      <c r="A210" s="647" t="s">
        <v>1398</v>
      </c>
      <c r="B210" s="647" t="s">
        <v>1397</v>
      </c>
      <c r="C210" s="647">
        <v>19202100966</v>
      </c>
      <c r="D210" s="647">
        <v>17.2</v>
      </c>
      <c r="E210" s="801" t="s">
        <v>419</v>
      </c>
      <c r="F210" s="842" t="s">
        <v>584</v>
      </c>
    </row>
    <row r="211" spans="1:6" x14ac:dyDescent="0.25">
      <c r="A211" s="647" t="s">
        <v>1398</v>
      </c>
      <c r="B211" s="647" t="s">
        <v>1397</v>
      </c>
      <c r="C211" s="647">
        <v>19202100989</v>
      </c>
      <c r="D211" s="647">
        <v>17</v>
      </c>
      <c r="E211" s="801" t="s">
        <v>419</v>
      </c>
      <c r="F211" s="842" t="s">
        <v>585</v>
      </c>
    </row>
    <row r="212" spans="1:6" x14ac:dyDescent="0.25">
      <c r="A212" s="647" t="s">
        <v>1398</v>
      </c>
      <c r="B212" s="647" t="s">
        <v>1397</v>
      </c>
      <c r="C212" s="647">
        <v>19202100874</v>
      </c>
      <c r="D212" s="647">
        <v>16.399999999999999</v>
      </c>
      <c r="E212" s="801" t="s">
        <v>419</v>
      </c>
      <c r="F212" s="842" t="s">
        <v>586</v>
      </c>
    </row>
    <row r="213" spans="1:6" x14ac:dyDescent="0.25">
      <c r="A213" s="647" t="s">
        <v>1398</v>
      </c>
      <c r="B213" s="647" t="s">
        <v>1397</v>
      </c>
      <c r="C213" s="647">
        <v>19202100998</v>
      </c>
      <c r="D213" s="647">
        <v>16.2</v>
      </c>
      <c r="E213" s="801" t="s">
        <v>419</v>
      </c>
      <c r="F213" s="842" t="s">
        <v>587</v>
      </c>
    </row>
    <row r="214" spans="1:6" x14ac:dyDescent="0.25">
      <c r="A214" s="647" t="s">
        <v>1398</v>
      </c>
      <c r="B214" s="647" t="s">
        <v>1397</v>
      </c>
      <c r="C214" s="647">
        <v>19202101004</v>
      </c>
      <c r="D214" s="647">
        <v>16.2</v>
      </c>
      <c r="E214" s="801" t="s">
        <v>419</v>
      </c>
      <c r="F214" s="842" t="s">
        <v>588</v>
      </c>
    </row>
    <row r="215" spans="1:6" x14ac:dyDescent="0.25">
      <c r="A215" s="647" t="s">
        <v>1398</v>
      </c>
      <c r="B215" s="647" t="s">
        <v>1397</v>
      </c>
      <c r="C215" s="647">
        <v>19202100924</v>
      </c>
      <c r="D215" s="647">
        <v>16</v>
      </c>
      <c r="E215" s="801" t="s">
        <v>419</v>
      </c>
      <c r="F215" s="842" t="s">
        <v>589</v>
      </c>
    </row>
    <row r="216" spans="1:6" x14ac:dyDescent="0.25">
      <c r="A216" s="647" t="s">
        <v>1398</v>
      </c>
      <c r="B216" s="647" t="s">
        <v>1397</v>
      </c>
      <c r="C216" s="647">
        <v>19202101002</v>
      </c>
      <c r="D216" s="647">
        <v>15.8</v>
      </c>
      <c r="E216" s="801" t="s">
        <v>419</v>
      </c>
      <c r="F216" s="842" t="s">
        <v>590</v>
      </c>
    </row>
    <row r="217" spans="1:6" x14ac:dyDescent="0.25">
      <c r="A217" s="647" t="s">
        <v>1398</v>
      </c>
      <c r="B217" s="647" t="s">
        <v>1397</v>
      </c>
      <c r="C217" s="647">
        <v>19202101003</v>
      </c>
      <c r="D217" s="647">
        <v>15</v>
      </c>
      <c r="E217" s="802" t="s">
        <v>420</v>
      </c>
      <c r="F217" s="842" t="s">
        <v>591</v>
      </c>
    </row>
    <row r="218" spans="1:6" x14ac:dyDescent="0.25">
      <c r="A218" s="647" t="s">
        <v>1398</v>
      </c>
      <c r="B218" s="647" t="s">
        <v>1397</v>
      </c>
      <c r="C218" s="647">
        <v>19202100982</v>
      </c>
      <c r="D218" s="647">
        <v>14.6</v>
      </c>
      <c r="E218" s="802" t="s">
        <v>420</v>
      </c>
      <c r="F218" s="842" t="s">
        <v>592</v>
      </c>
    </row>
    <row r="219" spans="1:6" x14ac:dyDescent="0.25">
      <c r="A219" s="647" t="s">
        <v>1398</v>
      </c>
      <c r="B219" s="647" t="s">
        <v>1397</v>
      </c>
      <c r="C219" s="647">
        <v>19202101007</v>
      </c>
      <c r="D219" s="647">
        <v>14.4</v>
      </c>
      <c r="E219" s="802" t="s">
        <v>420</v>
      </c>
      <c r="F219" s="842" t="s">
        <v>593</v>
      </c>
    </row>
    <row r="220" spans="1:6" x14ac:dyDescent="0.25">
      <c r="A220" s="647" t="s">
        <v>1398</v>
      </c>
      <c r="B220" s="647" t="s">
        <v>1397</v>
      </c>
      <c r="C220" s="647">
        <v>19202100991</v>
      </c>
      <c r="D220" s="647">
        <v>14.2</v>
      </c>
      <c r="E220" s="802" t="s">
        <v>420</v>
      </c>
      <c r="F220" s="842" t="s">
        <v>594</v>
      </c>
    </row>
    <row r="221" spans="1:6" x14ac:dyDescent="0.25">
      <c r="A221" s="647" t="s">
        <v>1398</v>
      </c>
      <c r="B221" t="s">
        <v>1399</v>
      </c>
      <c r="C221" s="647">
        <v>19202100985</v>
      </c>
      <c r="D221" s="647">
        <v>21.6</v>
      </c>
      <c r="E221" s="801" t="s">
        <v>419</v>
      </c>
      <c r="F221" s="842" t="s">
        <v>578</v>
      </c>
    </row>
    <row r="222" spans="1:6" x14ac:dyDescent="0.25">
      <c r="A222" s="647" t="s">
        <v>1398</v>
      </c>
      <c r="B222" s="647" t="s">
        <v>1399</v>
      </c>
      <c r="C222" s="647">
        <v>19202100999</v>
      </c>
      <c r="D222" s="647">
        <v>20.8</v>
      </c>
      <c r="E222" s="801" t="s">
        <v>419</v>
      </c>
      <c r="F222" s="842" t="s">
        <v>579</v>
      </c>
    </row>
    <row r="223" spans="1:6" x14ac:dyDescent="0.25">
      <c r="A223" s="647" t="s">
        <v>1398</v>
      </c>
      <c r="B223" s="647" t="s">
        <v>1399</v>
      </c>
      <c r="C223" s="647">
        <v>19202100893</v>
      </c>
      <c r="D223" s="647">
        <v>19</v>
      </c>
      <c r="E223" s="801" t="s">
        <v>419</v>
      </c>
      <c r="F223" s="842" t="s">
        <v>580</v>
      </c>
    </row>
    <row r="224" spans="1:6" x14ac:dyDescent="0.25">
      <c r="A224" s="647" t="s">
        <v>1398</v>
      </c>
      <c r="B224" s="647" t="s">
        <v>1399</v>
      </c>
      <c r="C224" s="647">
        <v>19202101000</v>
      </c>
      <c r="D224" s="647">
        <v>19</v>
      </c>
      <c r="E224" s="801" t="s">
        <v>419</v>
      </c>
      <c r="F224" s="842" t="s">
        <v>581</v>
      </c>
    </row>
    <row r="225" spans="1:6" x14ac:dyDescent="0.25">
      <c r="A225" s="647" t="s">
        <v>1398</v>
      </c>
      <c r="B225" s="647" t="s">
        <v>1399</v>
      </c>
      <c r="C225" s="647">
        <v>19202101006</v>
      </c>
      <c r="D225" s="647">
        <v>19</v>
      </c>
      <c r="E225" s="801" t="s">
        <v>419</v>
      </c>
      <c r="F225" s="842" t="s">
        <v>582</v>
      </c>
    </row>
    <row r="226" spans="1:6" x14ac:dyDescent="0.25">
      <c r="A226" s="647" t="s">
        <v>1398</v>
      </c>
      <c r="B226" s="647" t="s">
        <v>1399</v>
      </c>
      <c r="C226" s="647">
        <v>19202101008</v>
      </c>
      <c r="D226" s="647">
        <v>19</v>
      </c>
      <c r="E226" s="801" t="s">
        <v>419</v>
      </c>
      <c r="F226" s="842" t="s">
        <v>584</v>
      </c>
    </row>
    <row r="227" spans="1:6" x14ac:dyDescent="0.25">
      <c r="A227" s="647" t="s">
        <v>1398</v>
      </c>
      <c r="B227" s="647" t="s">
        <v>1399</v>
      </c>
      <c r="C227" s="647">
        <v>19202101005</v>
      </c>
      <c r="D227" s="647">
        <v>18.600000000000001</v>
      </c>
      <c r="E227" s="801" t="s">
        <v>419</v>
      </c>
      <c r="F227" s="842" t="s">
        <v>585</v>
      </c>
    </row>
    <row r="228" spans="1:6" x14ac:dyDescent="0.25">
      <c r="A228" s="647" t="s">
        <v>1398</v>
      </c>
      <c r="B228" s="647" t="s">
        <v>1399</v>
      </c>
      <c r="C228" s="647">
        <v>19202101009</v>
      </c>
      <c r="D228" s="647">
        <v>16.600000000000001</v>
      </c>
      <c r="E228" s="802" t="s">
        <v>420</v>
      </c>
      <c r="F228" s="842" t="s">
        <v>586</v>
      </c>
    </row>
    <row r="229" spans="1:6" x14ac:dyDescent="0.25">
      <c r="A229" t="s">
        <v>1465</v>
      </c>
      <c r="B229" t="s">
        <v>1466</v>
      </c>
      <c r="C229" s="829">
        <v>19202101613</v>
      </c>
      <c r="D229" s="829">
        <v>20</v>
      </c>
      <c r="E229" s="801" t="s">
        <v>419</v>
      </c>
      <c r="F229" s="842">
        <v>1</v>
      </c>
    </row>
    <row r="230" spans="1:6" x14ac:dyDescent="0.25">
      <c r="A230" s="829" t="s">
        <v>1465</v>
      </c>
      <c r="B230" s="829" t="s">
        <v>1466</v>
      </c>
      <c r="C230" s="829">
        <v>19202101582</v>
      </c>
      <c r="D230" s="829">
        <v>19</v>
      </c>
      <c r="E230" s="801" t="s">
        <v>419</v>
      </c>
      <c r="F230" s="842">
        <v>2</v>
      </c>
    </row>
    <row r="231" spans="1:6" x14ac:dyDescent="0.25">
      <c r="A231" s="829" t="s">
        <v>1465</v>
      </c>
      <c r="B231" s="829" t="s">
        <v>1466</v>
      </c>
      <c r="C231" s="829">
        <v>19202101601</v>
      </c>
      <c r="D231" s="829">
        <v>17.399999999999999</v>
      </c>
      <c r="E231" s="801" t="s">
        <v>419</v>
      </c>
      <c r="F231" s="842">
        <v>3</v>
      </c>
    </row>
    <row r="232" spans="1:6" x14ac:dyDescent="0.25">
      <c r="A232" s="829" t="s">
        <v>1465</v>
      </c>
      <c r="B232" s="829" t="s">
        <v>1466</v>
      </c>
      <c r="C232" s="829">
        <v>19202101615</v>
      </c>
      <c r="D232" s="829">
        <v>17.399999999999999</v>
      </c>
      <c r="E232" s="801" t="s">
        <v>419</v>
      </c>
      <c r="F232" s="842">
        <v>4</v>
      </c>
    </row>
    <row r="233" spans="1:6" x14ac:dyDescent="0.25">
      <c r="A233" s="829" t="s">
        <v>1465</v>
      </c>
      <c r="B233" s="829" t="s">
        <v>1466</v>
      </c>
      <c r="C233" s="829">
        <v>19202101617</v>
      </c>
      <c r="D233" s="829">
        <v>16.600000000000001</v>
      </c>
      <c r="E233" s="801" t="s">
        <v>419</v>
      </c>
      <c r="F233" s="842">
        <v>5</v>
      </c>
    </row>
    <row r="234" spans="1:6" x14ac:dyDescent="0.25">
      <c r="A234" s="829" t="s">
        <v>1465</v>
      </c>
      <c r="B234" s="829" t="s">
        <v>1466</v>
      </c>
      <c r="C234" s="829">
        <v>19202101606</v>
      </c>
      <c r="D234" s="829">
        <v>16.399999999999999</v>
      </c>
      <c r="E234" s="801" t="s">
        <v>419</v>
      </c>
      <c r="F234" s="842">
        <v>6</v>
      </c>
    </row>
    <row r="235" spans="1:6" x14ac:dyDescent="0.25">
      <c r="A235" s="829" t="s">
        <v>1465</v>
      </c>
      <c r="B235" s="829" t="s">
        <v>1466</v>
      </c>
      <c r="C235" s="829">
        <v>19202101614</v>
      </c>
      <c r="D235" s="829">
        <v>15.8</v>
      </c>
      <c r="E235" s="801" t="s">
        <v>419</v>
      </c>
      <c r="F235" s="842">
        <v>7</v>
      </c>
    </row>
    <row r="236" spans="1:6" x14ac:dyDescent="0.25">
      <c r="A236" s="829" t="s">
        <v>1465</v>
      </c>
      <c r="B236" s="829" t="s">
        <v>1466</v>
      </c>
      <c r="C236" s="829">
        <v>19202101605</v>
      </c>
      <c r="D236" s="829">
        <v>15.4</v>
      </c>
      <c r="E236" s="801" t="s">
        <v>419</v>
      </c>
      <c r="F236" s="842">
        <v>8</v>
      </c>
    </row>
    <row r="237" spans="1:6" x14ac:dyDescent="0.25">
      <c r="A237" s="829" t="s">
        <v>1465</v>
      </c>
      <c r="B237" s="829" t="s">
        <v>1466</v>
      </c>
      <c r="C237" s="829">
        <v>19202101592</v>
      </c>
      <c r="D237" s="829">
        <v>15</v>
      </c>
      <c r="E237" s="801" t="s">
        <v>419</v>
      </c>
      <c r="F237" s="842">
        <v>9</v>
      </c>
    </row>
    <row r="238" spans="1:6" x14ac:dyDescent="0.25">
      <c r="A238" s="829" t="s">
        <v>1465</v>
      </c>
      <c r="B238" s="829" t="s">
        <v>1466</v>
      </c>
      <c r="C238" s="829">
        <v>19202101604</v>
      </c>
      <c r="D238" s="829">
        <v>14.8</v>
      </c>
      <c r="E238" s="801" t="s">
        <v>419</v>
      </c>
      <c r="F238" s="842">
        <v>10</v>
      </c>
    </row>
    <row r="239" spans="1:6" x14ac:dyDescent="0.25">
      <c r="A239" s="829" t="s">
        <v>1465</v>
      </c>
      <c r="B239" s="829" t="s">
        <v>1466</v>
      </c>
      <c r="C239" s="829">
        <v>19202101611</v>
      </c>
      <c r="D239" s="829">
        <v>14.8</v>
      </c>
      <c r="E239" s="801" t="s">
        <v>419</v>
      </c>
      <c r="F239" s="842">
        <v>11</v>
      </c>
    </row>
    <row r="240" spans="1:6" x14ac:dyDescent="0.25">
      <c r="A240" s="829" t="s">
        <v>1465</v>
      </c>
      <c r="B240" s="829" t="s">
        <v>1466</v>
      </c>
      <c r="C240" s="829">
        <v>19202101616</v>
      </c>
      <c r="D240" s="829">
        <v>14.6</v>
      </c>
      <c r="E240" s="801" t="s">
        <v>419</v>
      </c>
      <c r="F240" s="842">
        <v>12</v>
      </c>
    </row>
    <row r="241" spans="1:7" x14ac:dyDescent="0.25">
      <c r="A241" s="829" t="s">
        <v>1465</v>
      </c>
      <c r="B241" s="829" t="s">
        <v>1466</v>
      </c>
      <c r="C241" s="829">
        <v>19202101600</v>
      </c>
      <c r="D241" s="829">
        <v>14</v>
      </c>
      <c r="E241" s="802" t="s">
        <v>420</v>
      </c>
      <c r="F241" s="842">
        <v>13</v>
      </c>
    </row>
    <row r="242" spans="1:7" x14ac:dyDescent="0.25">
      <c r="A242" s="829" t="s">
        <v>1549</v>
      </c>
      <c r="B242" s="829" t="s">
        <v>1550</v>
      </c>
      <c r="C242" s="829">
        <v>19202200384</v>
      </c>
      <c r="D242" s="829">
        <v>16.399999999999999</v>
      </c>
      <c r="E242" s="801" t="s">
        <v>419</v>
      </c>
      <c r="F242" s="829"/>
      <c r="G242" s="829"/>
    </row>
    <row r="243" spans="1:7" x14ac:dyDescent="0.25">
      <c r="A243" s="829" t="s">
        <v>1549</v>
      </c>
      <c r="B243" s="829" t="s">
        <v>1550</v>
      </c>
      <c r="C243" s="829">
        <v>19202200363</v>
      </c>
      <c r="D243" s="829">
        <v>16.2</v>
      </c>
      <c r="E243" s="801" t="s">
        <v>419</v>
      </c>
      <c r="F243" s="829"/>
      <c r="G243" s="829"/>
    </row>
    <row r="244" spans="1:7" x14ac:dyDescent="0.25">
      <c r="A244" s="829" t="s">
        <v>1549</v>
      </c>
      <c r="B244" s="829" t="s">
        <v>1550</v>
      </c>
      <c r="C244" s="829">
        <v>19202200373</v>
      </c>
      <c r="D244" s="829">
        <v>15</v>
      </c>
      <c r="E244" s="801" t="s">
        <v>419</v>
      </c>
      <c r="F244" s="829"/>
      <c r="G244" s="829"/>
    </row>
    <row r="245" spans="1:7" x14ac:dyDescent="0.25">
      <c r="A245" s="829" t="s">
        <v>1549</v>
      </c>
      <c r="B245" s="829" t="s">
        <v>1550</v>
      </c>
      <c r="C245" s="829">
        <v>19202200396</v>
      </c>
      <c r="D245" s="829">
        <v>14.8</v>
      </c>
      <c r="E245" s="801" t="s">
        <v>419</v>
      </c>
      <c r="F245" s="829"/>
      <c r="G245" s="829"/>
    </row>
    <row r="246" spans="1:7" x14ac:dyDescent="0.25">
      <c r="A246" s="829" t="s">
        <v>1549</v>
      </c>
      <c r="B246" s="829" t="s">
        <v>1550</v>
      </c>
      <c r="C246" s="829">
        <v>19202200386</v>
      </c>
      <c r="D246" s="829">
        <v>14.2</v>
      </c>
      <c r="E246" s="801" t="s">
        <v>419</v>
      </c>
      <c r="F246" s="829"/>
      <c r="G246" s="829"/>
    </row>
    <row r="247" spans="1:7" x14ac:dyDescent="0.25">
      <c r="A247" s="829" t="s">
        <v>1549</v>
      </c>
      <c r="B247" s="829" t="s">
        <v>1550</v>
      </c>
      <c r="C247" s="829">
        <v>19202200382</v>
      </c>
      <c r="D247" s="829">
        <v>13.2</v>
      </c>
      <c r="E247" s="801" t="s">
        <v>419</v>
      </c>
      <c r="F247" s="829"/>
      <c r="G247" s="829"/>
    </row>
    <row r="248" spans="1:7" x14ac:dyDescent="0.25">
      <c r="A248" s="829" t="s">
        <v>1549</v>
      </c>
      <c r="B248" s="829" t="s">
        <v>1550</v>
      </c>
      <c r="C248" s="829">
        <v>19202200387</v>
      </c>
      <c r="D248" s="829">
        <v>12</v>
      </c>
      <c r="E248" s="802" t="s">
        <v>420</v>
      </c>
      <c r="F248" s="829"/>
      <c r="G248" s="829"/>
    </row>
    <row r="249" spans="1:7" x14ac:dyDescent="0.25">
      <c r="A249" s="829" t="s">
        <v>1549</v>
      </c>
      <c r="B249" s="829" t="s">
        <v>1550</v>
      </c>
      <c r="C249" s="829">
        <v>19202200400</v>
      </c>
      <c r="D249" s="829">
        <v>11</v>
      </c>
      <c r="E249" s="802" t="s">
        <v>420</v>
      </c>
      <c r="F249" s="829"/>
      <c r="G249" s="829"/>
    </row>
    <row r="250" spans="1:7" x14ac:dyDescent="0.25">
      <c r="A250" s="829" t="s">
        <v>1549</v>
      </c>
      <c r="B250" s="829" t="s">
        <v>1550</v>
      </c>
      <c r="C250" s="829">
        <v>19202200388</v>
      </c>
      <c r="D250" s="829">
        <v>10</v>
      </c>
      <c r="E250" s="802" t="s">
        <v>420</v>
      </c>
      <c r="F250" s="829"/>
      <c r="G250" s="829"/>
    </row>
    <row r="251" spans="1:7" x14ac:dyDescent="0.25">
      <c r="A251" s="829" t="s">
        <v>1549</v>
      </c>
      <c r="B251" s="829" t="s">
        <v>1550</v>
      </c>
      <c r="C251" s="829">
        <v>19202200379</v>
      </c>
      <c r="D251" s="829">
        <v>9.6</v>
      </c>
      <c r="E251" s="802" t="s">
        <v>420</v>
      </c>
      <c r="F251" s="829"/>
      <c r="G251" s="829"/>
    </row>
    <row r="252" spans="1:7" x14ac:dyDescent="0.25">
      <c r="A252" s="829" t="s">
        <v>1549</v>
      </c>
      <c r="B252" s="829" t="s">
        <v>1399</v>
      </c>
      <c r="C252" s="829">
        <v>19202200357</v>
      </c>
      <c r="D252" s="829">
        <v>23</v>
      </c>
      <c r="E252" s="801" t="s">
        <v>419</v>
      </c>
      <c r="F252" s="829"/>
      <c r="G252" s="829"/>
    </row>
    <row r="253" spans="1:7" x14ac:dyDescent="0.25">
      <c r="A253" s="829" t="s">
        <v>1549</v>
      </c>
      <c r="B253" s="829" t="s">
        <v>1399</v>
      </c>
      <c r="C253" s="829">
        <v>19202200392</v>
      </c>
      <c r="D253" s="829">
        <v>22.2</v>
      </c>
      <c r="E253" s="801" t="s">
        <v>419</v>
      </c>
      <c r="F253" s="829"/>
      <c r="G253" s="829"/>
    </row>
    <row r="254" spans="1:7" x14ac:dyDescent="0.25">
      <c r="A254" s="829" t="s">
        <v>1549</v>
      </c>
      <c r="B254" s="829" t="s">
        <v>1399</v>
      </c>
      <c r="C254" s="829">
        <v>19202200381</v>
      </c>
      <c r="D254" s="829">
        <v>22</v>
      </c>
      <c r="E254" s="801" t="s">
        <v>419</v>
      </c>
      <c r="F254" s="829"/>
      <c r="G254" s="829"/>
    </row>
    <row r="255" spans="1:7" x14ac:dyDescent="0.25">
      <c r="A255" s="829" t="s">
        <v>1549</v>
      </c>
      <c r="B255" s="829" t="s">
        <v>1399</v>
      </c>
      <c r="C255" s="829">
        <v>19202200394</v>
      </c>
      <c r="D255" s="829">
        <v>22</v>
      </c>
      <c r="E255" s="801" t="s">
        <v>419</v>
      </c>
      <c r="F255" s="829"/>
      <c r="G255" s="829"/>
    </row>
    <row r="256" spans="1:7" x14ac:dyDescent="0.25">
      <c r="A256" s="829" t="s">
        <v>1549</v>
      </c>
      <c r="B256" s="829" t="s">
        <v>1399</v>
      </c>
      <c r="C256" s="829">
        <v>19202200383</v>
      </c>
      <c r="D256" s="829">
        <v>21.8</v>
      </c>
      <c r="E256" s="801" t="s">
        <v>419</v>
      </c>
      <c r="F256" s="829"/>
      <c r="G256" s="829"/>
    </row>
    <row r="257" spans="1:7" x14ac:dyDescent="0.25">
      <c r="A257" s="829" t="s">
        <v>1549</v>
      </c>
      <c r="B257" s="829" t="s">
        <v>1399</v>
      </c>
      <c r="C257" s="829">
        <v>19202200368</v>
      </c>
      <c r="D257" s="829">
        <v>21.2</v>
      </c>
      <c r="E257" s="801" t="s">
        <v>419</v>
      </c>
      <c r="F257" s="829"/>
      <c r="G257" s="829"/>
    </row>
    <row r="258" spans="1:7" x14ac:dyDescent="0.25">
      <c r="A258" s="829" t="s">
        <v>1549</v>
      </c>
      <c r="B258" s="829" t="s">
        <v>1399</v>
      </c>
      <c r="C258" s="829">
        <v>19202200390</v>
      </c>
      <c r="D258" s="829">
        <v>21</v>
      </c>
      <c r="E258" s="801" t="s">
        <v>419</v>
      </c>
      <c r="F258" s="829"/>
      <c r="G258" s="829"/>
    </row>
    <row r="259" spans="1:7" x14ac:dyDescent="0.25">
      <c r="A259" s="829" t="s">
        <v>1549</v>
      </c>
      <c r="B259" s="829" t="s">
        <v>1399</v>
      </c>
      <c r="C259" s="829">
        <v>19202200377</v>
      </c>
      <c r="D259" s="829">
        <v>20.8</v>
      </c>
      <c r="E259" s="801" t="s">
        <v>419</v>
      </c>
      <c r="F259" s="829"/>
      <c r="G259" s="829"/>
    </row>
    <row r="260" spans="1:7" x14ac:dyDescent="0.25">
      <c r="A260" s="829" t="s">
        <v>1549</v>
      </c>
      <c r="B260" s="829" t="s">
        <v>1399</v>
      </c>
      <c r="C260" s="829">
        <v>19202200402</v>
      </c>
      <c r="D260" s="829">
        <v>20.2</v>
      </c>
      <c r="E260" s="801" t="s">
        <v>419</v>
      </c>
      <c r="F260" s="829"/>
      <c r="G260" s="829"/>
    </row>
    <row r="261" spans="1:7" x14ac:dyDescent="0.25">
      <c r="A261" s="829" t="s">
        <v>1549</v>
      </c>
      <c r="B261" s="829" t="s">
        <v>1399</v>
      </c>
      <c r="C261" s="829">
        <v>19202200403</v>
      </c>
      <c r="D261" s="829">
        <v>19.399999999999999</v>
      </c>
      <c r="E261" s="801" t="s">
        <v>419</v>
      </c>
      <c r="F261" s="829"/>
      <c r="G261" s="829"/>
    </row>
    <row r="262" spans="1:7" x14ac:dyDescent="0.25">
      <c r="A262" s="829" t="s">
        <v>1549</v>
      </c>
      <c r="B262" s="829" t="s">
        <v>1399</v>
      </c>
      <c r="C262" s="829">
        <v>19202200399</v>
      </c>
      <c r="D262" s="829">
        <v>17.399999999999999</v>
      </c>
      <c r="E262" s="802" t="s">
        <v>420</v>
      </c>
      <c r="F262" s="829"/>
      <c r="G262" s="829"/>
    </row>
    <row r="263" spans="1:7" x14ac:dyDescent="0.25">
      <c r="A263" s="829" t="s">
        <v>1549</v>
      </c>
      <c r="B263" s="829" t="s">
        <v>1399</v>
      </c>
      <c r="C263" s="829">
        <v>19202200393</v>
      </c>
      <c r="D263" s="829">
        <v>16.600000000000001</v>
      </c>
      <c r="E263" s="802" t="s">
        <v>420</v>
      </c>
      <c r="F263" s="829"/>
      <c r="G263" s="829"/>
    </row>
    <row r="264" spans="1:7" x14ac:dyDescent="0.25">
      <c r="A264" s="829" t="s">
        <v>1549</v>
      </c>
      <c r="B264" s="829" t="s">
        <v>1399</v>
      </c>
      <c r="C264" s="829">
        <v>19202200401</v>
      </c>
      <c r="D264" s="829">
        <v>16.399999999999999</v>
      </c>
      <c r="E264" s="802" t="s">
        <v>420</v>
      </c>
      <c r="F264" s="829"/>
      <c r="G264" s="829"/>
    </row>
    <row r="265" spans="1:7" x14ac:dyDescent="0.25">
      <c r="A265" s="829" t="s">
        <v>1549</v>
      </c>
      <c r="B265" s="829" t="s">
        <v>1399</v>
      </c>
      <c r="C265" s="829">
        <v>19202200362</v>
      </c>
      <c r="D265" s="829">
        <v>16.2</v>
      </c>
      <c r="E265" s="802" t="s">
        <v>420</v>
      </c>
      <c r="F265" s="829"/>
      <c r="G265" s="829"/>
    </row>
    <row r="266" spans="1:7" x14ac:dyDescent="0.25">
      <c r="A266" s="829" t="s">
        <v>1549</v>
      </c>
      <c r="B266" s="829" t="s">
        <v>1399</v>
      </c>
      <c r="C266" s="829">
        <v>19202200385</v>
      </c>
      <c r="D266" s="829">
        <v>15.2</v>
      </c>
      <c r="E266" s="802" t="s">
        <v>420</v>
      </c>
      <c r="F266" s="829"/>
      <c r="G266" s="829"/>
    </row>
    <row r="267" spans="1:7" x14ac:dyDescent="0.25">
      <c r="A267" s="829" t="s">
        <v>1549</v>
      </c>
      <c r="B267" s="829" t="s">
        <v>1399</v>
      </c>
      <c r="C267" s="829">
        <v>19202200397</v>
      </c>
      <c r="D267" s="829">
        <v>14</v>
      </c>
      <c r="E267" s="802" t="s">
        <v>420</v>
      </c>
      <c r="F267" s="829"/>
      <c r="G267" s="829"/>
    </row>
    <row r="268" spans="1:7" x14ac:dyDescent="0.25">
      <c r="A268" s="829" t="s">
        <v>1549</v>
      </c>
      <c r="B268" s="829" t="s">
        <v>1399</v>
      </c>
      <c r="C268" s="829">
        <v>19202200404</v>
      </c>
      <c r="D268" s="829">
        <v>14</v>
      </c>
      <c r="E268" s="802" t="s">
        <v>420</v>
      </c>
      <c r="F268" s="829"/>
      <c r="G268" s="829"/>
    </row>
    <row r="269" spans="1:7" x14ac:dyDescent="0.25">
      <c r="A269" s="829" t="s">
        <v>1549</v>
      </c>
      <c r="B269" s="829" t="s">
        <v>1399</v>
      </c>
      <c r="C269" s="829">
        <v>19202200405</v>
      </c>
      <c r="D269" s="829">
        <v>12</v>
      </c>
      <c r="E269" s="802" t="s">
        <v>420</v>
      </c>
      <c r="F269" s="829"/>
      <c r="G269" s="829"/>
    </row>
  </sheetData>
  <mergeCells count="1">
    <mergeCell ref="A1:F1"/>
  </mergeCells>
  <hyperlinks>
    <hyperlink ref="C165" r:id="rId1" location="/router?komponent=taotlus&amp;id=1177921&amp;kuva=ava" display="/router?komponent=taotlus&amp;id=1177921&amp;kuva=ava"/>
    <hyperlink ref="C166" r:id="rId2" location="/router?komponent=taotlus&amp;id=1190169&amp;kuva=ava" display="https://pms.arib.pria.ee/pms-menetlus/ - /router?komponent=taotlus&amp;id=1190169&amp;kuva=ava"/>
    <hyperlink ref="C167" r:id="rId3" location="/router?komponent=taotlus&amp;id=1189483&amp;kuva=ava" display="https://pms.arib.pria.ee/pms-menetlus/ - /router?komponent=taotlus&amp;id=1189483&amp;kuva=ava"/>
    <hyperlink ref="C168" r:id="rId4" location="/router?komponent=taotlus&amp;id=1182986&amp;kuva=ava" display="https://pms.arib.pria.ee/pms-menetlus/ - /router?komponent=taotlus&amp;id=1182986&amp;kuva=ava"/>
    <hyperlink ref="C169" r:id="rId5" location="/router?komponent=taotlus&amp;id=1178467&amp;kuva=ava" display="https://pms.arib.pria.ee/pms-menetlus/ - /router?komponent=taotlus&amp;id=1178467&amp;kuva=ava"/>
    <hyperlink ref="C170" r:id="rId6" location="/router?komponent=taotlus&amp;id=1187651&amp;kuva=ava" display="https://pms.arib.pria.ee/pms-menetlus/ - /router?komponent=taotlus&amp;id=1187651&amp;kuva=ava"/>
    <hyperlink ref="C171" r:id="rId7" location="/router?komponent=taotlus&amp;id=1189310&amp;kuva=ava" display="https://pms.arib.pria.ee/pms-menetlus/ - /router?komponent=taotlus&amp;id=1189310&amp;kuva=ava"/>
    <hyperlink ref="C172" r:id="rId8" location="/router?komponent=taotlus&amp;id=1181096&amp;kuva=ava" display="https://pms.arib.pria.ee/pms-menetlus/ - /router?komponent=taotlus&amp;id=1181096&amp;kuva=ava"/>
    <hyperlink ref="C173" r:id="rId9" location="/router?komponent=taotlus&amp;id=1184179&amp;kuva=ava" display="https://pms.arib.pria.ee/pms-menetlus/ - /router?komponent=taotlus&amp;id=1184179&amp;kuva=ava"/>
    <hyperlink ref="C174" r:id="rId10" location="/router?komponent=taotlus&amp;id=1191080&amp;kuva=ava" display="https://pms.arib.pria.ee/pms-menetlus/ - /router?komponent=taotlus&amp;id=1191080&amp;kuva=ava"/>
    <hyperlink ref="C175" r:id="rId11" location="/router?komponent=taotlus&amp;id=1185244&amp;kuva=ava" display="https://pms.arib.pria.ee/pms-menetlus/ - /router?komponent=taotlus&amp;id=1185244&amp;kuva=ava"/>
    <hyperlink ref="C176" r:id="rId12" location="/router?komponent=taotlus&amp;id=1178183&amp;kuva=ava" display="https://pms.arib.pria.ee/pms-menetlus/ - /router?komponent=taotlus&amp;id=1178183&amp;kuva=ava"/>
    <hyperlink ref="C177" r:id="rId13" location="/router?komponent=taotlus&amp;id=1180373&amp;kuva=ava" display="https://pms.arib.pria.ee/pms-menetlus/ - /router?komponent=taotlus&amp;id=1180373&amp;kuva=ava"/>
    <hyperlink ref="C178" r:id="rId14" location="/router?komponent=taotlus&amp;id=1179408&amp;kuva=ava" display="https://pms.arib.pria.ee/pms-menetlus/ - /router?komponent=taotlus&amp;id=1179408&amp;kuva=ava"/>
    <hyperlink ref="C179" r:id="rId15" location="/router?komponent=taotlus&amp;id=1178061&amp;kuva=ava" display="https://pms.arib.pria.ee/pms-menetlus/ - /router?komponent=taotlus&amp;id=1178061&amp;kuva=ava"/>
    <hyperlink ref="C180" r:id="rId16" location="/router?komponent=taotlus&amp;id=1178064&amp;kuva=ava" display="https://pms.arib.pria.ee/pms-menetlus/ - /router?komponent=taotlus&amp;id=1178064&amp;kuva=ava"/>
    <hyperlink ref="C181" r:id="rId17" location="/router?komponent=taotlus&amp;id=1180846&amp;kuva=ava" display="https://pms.arib.pria.ee/pms-menetlus/ - /router?komponent=taotlus&amp;id=1180846&amp;kuva=ava"/>
    <hyperlink ref="C182" r:id="rId18" location="/router?komponent=taotlus&amp;id=1180976&amp;kuva=ava" display="https://pms.arib.pria.ee/pms-menetlus/ - /router?komponent=taotlus&amp;id=1180976&amp;kuva=ava"/>
    <hyperlink ref="C183" r:id="rId19" location="/router?komponent=taotlus&amp;id=1183124&amp;kuva=ava" display="https://pms.arib.pria.ee/pms-menetlus/ - /router?komponent=taotlus&amp;id=1183124&amp;kuva=ava"/>
    <hyperlink ref="C184" r:id="rId20" location="/router?komponent=taotlus&amp;id=1186231&amp;kuva=ava" display="https://pms.arib.pria.ee/pms-menetlus/ - /router?komponent=taotlus&amp;id=1186231&amp;kuva=ava"/>
    <hyperlink ref="C185" r:id="rId21" location="/router?komponent=taotlus&amp;id=1179358&amp;kuva=ava" display="https://pms.arib.pria.ee/pms-menetlus/ - /router?komponent=taotlus&amp;id=1179358&amp;kuva=ava"/>
    <hyperlink ref="C186" r:id="rId22" location="/router?komponent=taotlus&amp;id=1182062&amp;kuva=ava" display="https://pms.arib.pria.ee/pms-menetlus/ - /router?komponent=taotlus&amp;id=1182062&amp;kuva=ava"/>
    <hyperlink ref="C187" r:id="rId23" location="/router?komponent=taotlus&amp;id=1178155&amp;kuva=ava" display="https://pms.arib.pria.ee/pms-menetlus/ - /router?komponent=taotlus&amp;id=1178155&amp;kuva=ava"/>
    <hyperlink ref="C188" r:id="rId24" location="/router?komponent=taotlus&amp;id=1179714&amp;kuva=ava" display="https://pms.arib.pria.ee/pms-menetlus/ - /router?komponent=taotlus&amp;id=1179714&amp;kuva=ava"/>
    <hyperlink ref="C189" r:id="rId25" location="/router?komponent=taotlus&amp;id=1180026&amp;kuva=ava" display="https://pms.arib.pria.ee/pms-menetlus/ - /router?komponent=taotlus&amp;id=1180026&amp;kuva=ava"/>
    <hyperlink ref="C190" r:id="rId26" location="/router?komponent=taotlus&amp;id=1185982&amp;kuva=ava" display="https://pms.arib.pria.ee/pms-menetlus/ - /router?komponent=taotlus&amp;id=1185982&amp;kuva=ava"/>
    <hyperlink ref="C191" r:id="rId27" location="/router?komponent=taotlus&amp;id=1180086&amp;kuva=ava" display="https://pms.arib.pria.ee/pms-menetlus/ - /router?komponent=taotlus&amp;id=1180086&amp;kuva=ava"/>
    <hyperlink ref="C192" r:id="rId28" location="/router?komponent=taotlus&amp;id=1184975&amp;kuva=ava" display="https://pms.arib.pria.ee/pms-menetlus/ - /router?komponent=taotlus&amp;id=1184975&amp;kuva=ava"/>
  </hyperlinks>
  <pageMargins left="0.7" right="0.7" top="0.75" bottom="0.75" header="0.3" footer="0.3"/>
  <pageSetup paperSize="9" orientation="portrait" r:id="rId29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opLeftCell="A242" workbookViewId="0">
      <selection activeCell="G247" sqref="G247:H247"/>
    </sheetView>
  </sheetViews>
  <sheetFormatPr defaultRowHeight="15" x14ac:dyDescent="0.25"/>
  <cols>
    <col min="1" max="1" width="22.5703125" customWidth="1"/>
    <col min="2" max="2" width="48.42578125" customWidth="1"/>
    <col min="3" max="3" width="26.140625" customWidth="1"/>
    <col min="4" max="4" width="12.5703125" customWidth="1"/>
    <col min="5" max="5" width="20.140625" customWidth="1"/>
    <col min="6" max="6" width="19" customWidth="1"/>
  </cols>
  <sheetData>
    <row r="1" spans="1:6" ht="16.5" thickBot="1" x14ac:dyDescent="0.3">
      <c r="A1" s="865" t="s">
        <v>450</v>
      </c>
      <c r="B1" s="866"/>
      <c r="C1" s="866"/>
      <c r="D1" s="866"/>
      <c r="E1" s="866"/>
      <c r="F1" s="868"/>
    </row>
    <row r="2" spans="1:6" ht="15.75" thickBot="1" x14ac:dyDescent="0.3">
      <c r="A2" s="249" t="s">
        <v>6</v>
      </c>
      <c r="B2" s="250" t="s">
        <v>2</v>
      </c>
      <c r="C2" s="251" t="s">
        <v>0</v>
      </c>
      <c r="D2" s="252" t="s">
        <v>1</v>
      </c>
      <c r="E2" s="245" t="s">
        <v>464</v>
      </c>
      <c r="F2" s="245" t="s">
        <v>577</v>
      </c>
    </row>
    <row r="3" spans="1:6" x14ac:dyDescent="0.25">
      <c r="A3" s="78" t="s">
        <v>451</v>
      </c>
      <c r="B3" s="79" t="s">
        <v>452</v>
      </c>
      <c r="C3" s="65" t="str">
        <f>"619216861157"</f>
        <v>619216861157</v>
      </c>
      <c r="D3" s="38">
        <v>3.57</v>
      </c>
      <c r="E3" s="213" t="s">
        <v>419</v>
      </c>
      <c r="F3" s="229" t="s">
        <v>578</v>
      </c>
    </row>
    <row r="4" spans="1:6" x14ac:dyDescent="0.25">
      <c r="A4" s="80" t="s">
        <v>451</v>
      </c>
      <c r="B4" s="75" t="s">
        <v>452</v>
      </c>
      <c r="C4" s="27" t="str">
        <f>"619216861152"</f>
        <v>619216861152</v>
      </c>
      <c r="D4" s="9">
        <v>3.36</v>
      </c>
      <c r="E4" s="214" t="s">
        <v>419</v>
      </c>
      <c r="F4" s="230" t="s">
        <v>579</v>
      </c>
    </row>
    <row r="5" spans="1:6" x14ac:dyDescent="0.25">
      <c r="A5" s="80" t="s">
        <v>451</v>
      </c>
      <c r="B5" s="75" t="s">
        <v>452</v>
      </c>
      <c r="C5" s="27" t="str">
        <f>"619216861138"</f>
        <v>619216861138</v>
      </c>
      <c r="D5" s="9">
        <v>3.33</v>
      </c>
      <c r="E5" s="214" t="s">
        <v>419</v>
      </c>
      <c r="F5" s="230" t="s">
        <v>580</v>
      </c>
    </row>
    <row r="6" spans="1:6" x14ac:dyDescent="0.25">
      <c r="A6" s="80" t="s">
        <v>451</v>
      </c>
      <c r="B6" s="75" t="s">
        <v>452</v>
      </c>
      <c r="C6" s="27" t="str">
        <f>"619216861127"</f>
        <v>619216861127</v>
      </c>
      <c r="D6" s="9">
        <v>3.26</v>
      </c>
      <c r="E6" s="214" t="s">
        <v>419</v>
      </c>
      <c r="F6" s="230" t="s">
        <v>581</v>
      </c>
    </row>
    <row r="7" spans="1:6" x14ac:dyDescent="0.25">
      <c r="A7" s="80" t="s">
        <v>451</v>
      </c>
      <c r="B7" s="75" t="s">
        <v>452</v>
      </c>
      <c r="C7" s="27" t="str">
        <f>"619216861159"</f>
        <v>619216861159</v>
      </c>
      <c r="D7" s="9">
        <v>3.17</v>
      </c>
      <c r="E7" s="214" t="s">
        <v>419</v>
      </c>
      <c r="F7" s="230" t="s">
        <v>582</v>
      </c>
    </row>
    <row r="8" spans="1:6" x14ac:dyDescent="0.25">
      <c r="A8" s="80" t="s">
        <v>451</v>
      </c>
      <c r="B8" s="75" t="s">
        <v>452</v>
      </c>
      <c r="C8" s="27" t="str">
        <f>"619216861141"</f>
        <v>619216861141</v>
      </c>
      <c r="D8" s="9">
        <v>3.14</v>
      </c>
      <c r="E8" s="214" t="s">
        <v>419</v>
      </c>
      <c r="F8" s="230" t="s">
        <v>583</v>
      </c>
    </row>
    <row r="9" spans="1:6" x14ac:dyDescent="0.25">
      <c r="A9" s="80" t="s">
        <v>451</v>
      </c>
      <c r="B9" s="76" t="s">
        <v>452</v>
      </c>
      <c r="C9" s="27" t="str">
        <f>"619216861149"</f>
        <v>619216861149</v>
      </c>
      <c r="D9" s="9">
        <v>3.08</v>
      </c>
      <c r="E9" s="218" t="s">
        <v>420</v>
      </c>
      <c r="F9" s="230" t="s">
        <v>584</v>
      </c>
    </row>
    <row r="10" spans="1:6" x14ac:dyDescent="0.25">
      <c r="A10" s="80" t="s">
        <v>451</v>
      </c>
      <c r="B10" s="76" t="s">
        <v>452</v>
      </c>
      <c r="C10" s="27" t="str">
        <f>"619216861125"</f>
        <v>619216861125</v>
      </c>
      <c r="D10" s="9">
        <v>3.06</v>
      </c>
      <c r="E10" s="218" t="s">
        <v>420</v>
      </c>
      <c r="F10" s="230" t="s">
        <v>585</v>
      </c>
    </row>
    <row r="11" spans="1:6" x14ac:dyDescent="0.25">
      <c r="A11" s="80" t="s">
        <v>451</v>
      </c>
      <c r="B11" s="76" t="s">
        <v>452</v>
      </c>
      <c r="C11" s="27" t="str">
        <f>"619216861134"</f>
        <v>619216861134</v>
      </c>
      <c r="D11" s="9">
        <v>3.02</v>
      </c>
      <c r="E11" s="218" t="s">
        <v>420</v>
      </c>
      <c r="F11" s="230" t="s">
        <v>586</v>
      </c>
    </row>
    <row r="12" spans="1:6" x14ac:dyDescent="0.25">
      <c r="A12" s="80" t="s">
        <v>451</v>
      </c>
      <c r="B12" s="76" t="s">
        <v>452</v>
      </c>
      <c r="C12" s="27" t="str">
        <f>"619216861123"</f>
        <v>619216861123</v>
      </c>
      <c r="D12" s="9">
        <v>3.01</v>
      </c>
      <c r="E12" s="218" t="s">
        <v>420</v>
      </c>
      <c r="F12" s="230" t="s">
        <v>587</v>
      </c>
    </row>
    <row r="13" spans="1:6" x14ac:dyDescent="0.25">
      <c r="A13" s="80" t="s">
        <v>451</v>
      </c>
      <c r="B13" s="76" t="s">
        <v>452</v>
      </c>
      <c r="C13" s="27" t="str">
        <f>"619216861130"</f>
        <v>619216861130</v>
      </c>
      <c r="D13" s="9">
        <v>2.89</v>
      </c>
      <c r="E13" s="218" t="s">
        <v>420</v>
      </c>
      <c r="F13" s="230" t="s">
        <v>588</v>
      </c>
    </row>
    <row r="14" spans="1:6" x14ac:dyDescent="0.25">
      <c r="A14" s="80" t="s">
        <v>451</v>
      </c>
      <c r="B14" s="76" t="s">
        <v>452</v>
      </c>
      <c r="C14" s="27" t="str">
        <f>"619216861145"</f>
        <v>619216861145</v>
      </c>
      <c r="D14" s="9">
        <v>2.84</v>
      </c>
      <c r="E14" s="218" t="s">
        <v>420</v>
      </c>
      <c r="F14" s="230" t="s">
        <v>589</v>
      </c>
    </row>
    <row r="15" spans="1:6" x14ac:dyDescent="0.25">
      <c r="A15" s="80" t="s">
        <v>451</v>
      </c>
      <c r="B15" s="76" t="s">
        <v>452</v>
      </c>
      <c r="C15" s="27" t="str">
        <f>"619216861155"</f>
        <v>619216861155</v>
      </c>
      <c r="D15" s="9">
        <v>2.8</v>
      </c>
      <c r="E15" s="218" t="s">
        <v>420</v>
      </c>
      <c r="F15" s="230" t="s">
        <v>590</v>
      </c>
    </row>
    <row r="16" spans="1:6" x14ac:dyDescent="0.25">
      <c r="A16" s="80" t="s">
        <v>451</v>
      </c>
      <c r="B16" s="76" t="s">
        <v>452</v>
      </c>
      <c r="C16" s="27" t="str">
        <f>"619216861133"</f>
        <v>619216861133</v>
      </c>
      <c r="D16" s="9">
        <v>2.78</v>
      </c>
      <c r="E16" s="218" t="s">
        <v>420</v>
      </c>
      <c r="F16" s="230" t="s">
        <v>591</v>
      </c>
    </row>
    <row r="17" spans="1:6" x14ac:dyDescent="0.25">
      <c r="A17" s="80" t="s">
        <v>451</v>
      </c>
      <c r="B17" s="76" t="s">
        <v>452</v>
      </c>
      <c r="C17" s="27" t="str">
        <f>"619216861119"</f>
        <v>619216861119</v>
      </c>
      <c r="D17" s="9">
        <v>2.77</v>
      </c>
      <c r="E17" s="218" t="s">
        <v>420</v>
      </c>
      <c r="F17" s="230" t="s">
        <v>592</v>
      </c>
    </row>
    <row r="18" spans="1:6" x14ac:dyDescent="0.25">
      <c r="A18" s="80" t="s">
        <v>451</v>
      </c>
      <c r="B18" s="76" t="s">
        <v>452</v>
      </c>
      <c r="C18" s="27" t="str">
        <f>"619216861137"</f>
        <v>619216861137</v>
      </c>
      <c r="D18" s="9">
        <v>2.64</v>
      </c>
      <c r="E18" s="218" t="s">
        <v>420</v>
      </c>
      <c r="F18" s="230" t="s">
        <v>593</v>
      </c>
    </row>
    <row r="19" spans="1:6" x14ac:dyDescent="0.25">
      <c r="A19" s="80" t="s">
        <v>451</v>
      </c>
      <c r="B19" s="76" t="s">
        <v>452</v>
      </c>
      <c r="C19" s="27" t="str">
        <f>"619216861121"</f>
        <v>619216861121</v>
      </c>
      <c r="D19" s="9">
        <v>2.63</v>
      </c>
      <c r="E19" s="218" t="s">
        <v>420</v>
      </c>
      <c r="F19" s="230" t="s">
        <v>594</v>
      </c>
    </row>
    <row r="20" spans="1:6" x14ac:dyDescent="0.25">
      <c r="A20" s="80" t="s">
        <v>451</v>
      </c>
      <c r="B20" s="76" t="s">
        <v>452</v>
      </c>
      <c r="C20" s="27" t="str">
        <f>"619216861146"</f>
        <v>619216861146</v>
      </c>
      <c r="D20" s="9">
        <v>2.48</v>
      </c>
      <c r="E20" s="218" t="s">
        <v>420</v>
      </c>
      <c r="F20" s="230" t="s">
        <v>595</v>
      </c>
    </row>
    <row r="21" spans="1:6" x14ac:dyDescent="0.25">
      <c r="A21" s="80" t="s">
        <v>451</v>
      </c>
      <c r="B21" s="76" t="s">
        <v>452</v>
      </c>
      <c r="C21" s="27" t="str">
        <f>"619216861153"</f>
        <v>619216861153</v>
      </c>
      <c r="D21" s="9">
        <v>2.41</v>
      </c>
      <c r="E21" s="218" t="s">
        <v>420</v>
      </c>
      <c r="F21" s="247" t="s">
        <v>596</v>
      </c>
    </row>
    <row r="22" spans="1:6" x14ac:dyDescent="0.25">
      <c r="A22" s="80" t="s">
        <v>451</v>
      </c>
      <c r="B22" s="76" t="s">
        <v>452</v>
      </c>
      <c r="C22" s="27" t="str">
        <f>"619216861154"</f>
        <v>619216861154</v>
      </c>
      <c r="D22" s="9">
        <v>2.37</v>
      </c>
      <c r="E22" s="218" t="s">
        <v>420</v>
      </c>
      <c r="F22" s="247" t="s">
        <v>597</v>
      </c>
    </row>
    <row r="23" spans="1:6" x14ac:dyDescent="0.25">
      <c r="A23" s="80" t="s">
        <v>451</v>
      </c>
      <c r="B23" s="76" t="s">
        <v>452</v>
      </c>
      <c r="C23" s="27" t="str">
        <f>"619216861139"</f>
        <v>619216861139</v>
      </c>
      <c r="D23" s="9">
        <v>2.2799999999999998</v>
      </c>
      <c r="E23" s="218" t="s">
        <v>420</v>
      </c>
      <c r="F23" s="247" t="s">
        <v>598</v>
      </c>
    </row>
    <row r="24" spans="1:6" x14ac:dyDescent="0.25">
      <c r="A24" s="80" t="s">
        <v>451</v>
      </c>
      <c r="B24" s="76" t="s">
        <v>452</v>
      </c>
      <c r="C24" s="27" t="str">
        <f>"619216861128"</f>
        <v>619216861128</v>
      </c>
      <c r="D24" s="9">
        <v>2.02</v>
      </c>
      <c r="E24" s="218" t="s">
        <v>420</v>
      </c>
      <c r="F24" s="247" t="s">
        <v>599</v>
      </c>
    </row>
    <row r="25" spans="1:6" ht="15.75" thickBot="1" x14ac:dyDescent="0.3">
      <c r="A25" s="81" t="s">
        <v>451</v>
      </c>
      <c r="B25" s="82" t="s">
        <v>452</v>
      </c>
      <c r="C25" s="63" t="str">
        <f>"619216861135"</f>
        <v>619216861135</v>
      </c>
      <c r="D25" s="45">
        <v>2</v>
      </c>
      <c r="E25" s="219" t="s">
        <v>420</v>
      </c>
      <c r="F25" s="248" t="s">
        <v>600</v>
      </c>
    </row>
    <row r="26" spans="1:6" x14ac:dyDescent="0.25">
      <c r="A26" s="78" t="s">
        <v>451</v>
      </c>
      <c r="B26" s="83" t="s">
        <v>453</v>
      </c>
      <c r="C26" s="65" t="str">
        <f>"619216861140"</f>
        <v>619216861140</v>
      </c>
      <c r="D26" s="38">
        <v>3.35</v>
      </c>
      <c r="E26" s="213" t="s">
        <v>419</v>
      </c>
      <c r="F26" s="246" t="s">
        <v>578</v>
      </c>
    </row>
    <row r="27" spans="1:6" x14ac:dyDescent="0.25">
      <c r="A27" s="80" t="s">
        <v>451</v>
      </c>
      <c r="B27" s="77" t="s">
        <v>453</v>
      </c>
      <c r="C27" s="27" t="str">
        <f>"619216861122"</f>
        <v>619216861122</v>
      </c>
      <c r="D27" s="9">
        <v>3.29</v>
      </c>
      <c r="E27" s="214" t="s">
        <v>419</v>
      </c>
      <c r="F27" s="247" t="s">
        <v>579</v>
      </c>
    </row>
    <row r="28" spans="1:6" x14ac:dyDescent="0.25">
      <c r="A28" s="80" t="s">
        <v>451</v>
      </c>
      <c r="B28" s="77" t="s">
        <v>453</v>
      </c>
      <c r="C28" s="27" t="str">
        <f>"619216861118"</f>
        <v>619216861118</v>
      </c>
      <c r="D28" s="9">
        <v>3.13</v>
      </c>
      <c r="E28" s="214" t="s">
        <v>419</v>
      </c>
      <c r="F28" s="247" t="s">
        <v>580</v>
      </c>
    </row>
    <row r="29" spans="1:6" x14ac:dyDescent="0.25">
      <c r="A29" s="80" t="s">
        <v>451</v>
      </c>
      <c r="B29" s="77" t="s">
        <v>453</v>
      </c>
      <c r="C29" s="6" t="s">
        <v>485</v>
      </c>
      <c r="D29" s="9">
        <v>2.78</v>
      </c>
      <c r="E29" s="214" t="s">
        <v>419</v>
      </c>
      <c r="F29" s="247" t="s">
        <v>581</v>
      </c>
    </row>
    <row r="30" spans="1:6" x14ac:dyDescent="0.25">
      <c r="A30" s="80" t="s">
        <v>451</v>
      </c>
      <c r="B30" s="77" t="s">
        <v>453</v>
      </c>
      <c r="C30" s="27" t="str">
        <f>"619216861150"</f>
        <v>619216861150</v>
      </c>
      <c r="D30" s="9">
        <v>2.46</v>
      </c>
      <c r="E30" s="218" t="s">
        <v>420</v>
      </c>
      <c r="F30" s="247" t="s">
        <v>582</v>
      </c>
    </row>
    <row r="31" spans="1:6" ht="15.75" thickBot="1" x14ac:dyDescent="0.3">
      <c r="A31" s="81" t="s">
        <v>451</v>
      </c>
      <c r="B31" s="84" t="s">
        <v>453</v>
      </c>
      <c r="C31" s="63" t="str">
        <f>"619216861124"</f>
        <v>619216861124</v>
      </c>
      <c r="D31" s="45">
        <v>2.2599999999999998</v>
      </c>
      <c r="E31" s="219" t="s">
        <v>420</v>
      </c>
      <c r="F31" s="248" t="s">
        <v>583</v>
      </c>
    </row>
    <row r="32" spans="1:6" x14ac:dyDescent="0.25">
      <c r="A32" s="78" t="s">
        <v>451</v>
      </c>
      <c r="B32" s="83" t="s">
        <v>454</v>
      </c>
      <c r="C32" s="65" t="str">
        <f>"619216861120"</f>
        <v>619216861120</v>
      </c>
      <c r="D32" s="38">
        <v>3.51</v>
      </c>
      <c r="E32" s="213" t="s">
        <v>419</v>
      </c>
      <c r="F32" s="246" t="s">
        <v>578</v>
      </c>
    </row>
    <row r="33" spans="1:6" x14ac:dyDescent="0.25">
      <c r="A33" s="80" t="s">
        <v>451</v>
      </c>
      <c r="B33" s="77" t="s">
        <v>454</v>
      </c>
      <c r="C33" s="27" t="str">
        <f>"619216861147"</f>
        <v>619216861147</v>
      </c>
      <c r="D33" s="9">
        <v>3.13</v>
      </c>
      <c r="E33" s="214" t="s">
        <v>419</v>
      </c>
      <c r="F33" s="247" t="s">
        <v>579</v>
      </c>
    </row>
    <row r="34" spans="1:6" x14ac:dyDescent="0.25">
      <c r="A34" s="80" t="s">
        <v>451</v>
      </c>
      <c r="B34" s="77" t="s">
        <v>454</v>
      </c>
      <c r="C34" s="27" t="str">
        <f>"619216861126"</f>
        <v>619216861126</v>
      </c>
      <c r="D34" s="9">
        <v>3.01</v>
      </c>
      <c r="E34" s="214" t="s">
        <v>419</v>
      </c>
      <c r="F34" s="247" t="s">
        <v>580</v>
      </c>
    </row>
    <row r="35" spans="1:6" x14ac:dyDescent="0.25">
      <c r="A35" s="80" t="s">
        <v>451</v>
      </c>
      <c r="B35" s="77" t="s">
        <v>454</v>
      </c>
      <c r="C35" s="6" t="str">
        <f>"619216861234"</f>
        <v>619216861234</v>
      </c>
      <c r="D35" s="9">
        <v>2.96</v>
      </c>
      <c r="E35" s="214" t="s">
        <v>419</v>
      </c>
      <c r="F35" s="247" t="s">
        <v>581</v>
      </c>
    </row>
    <row r="36" spans="1:6" x14ac:dyDescent="0.25">
      <c r="A36" s="80" t="s">
        <v>451</v>
      </c>
      <c r="B36" s="77" t="s">
        <v>454</v>
      </c>
      <c r="C36" s="27" t="str">
        <f>"619216861117"</f>
        <v>619216861117</v>
      </c>
      <c r="D36" s="9">
        <v>2.86</v>
      </c>
      <c r="E36" s="218" t="s">
        <v>420</v>
      </c>
      <c r="F36" s="247" t="s">
        <v>582</v>
      </c>
    </row>
    <row r="37" spans="1:6" x14ac:dyDescent="0.25">
      <c r="A37" s="80" t="s">
        <v>451</v>
      </c>
      <c r="B37" s="77" t="s">
        <v>454</v>
      </c>
      <c r="C37" s="27" t="str">
        <f>"619216861132"</f>
        <v>619216861132</v>
      </c>
      <c r="D37" s="9">
        <v>2.52</v>
      </c>
      <c r="E37" s="218" t="s">
        <v>420</v>
      </c>
      <c r="F37" s="247" t="s">
        <v>583</v>
      </c>
    </row>
    <row r="38" spans="1:6" ht="15.75" thickBot="1" x14ac:dyDescent="0.3">
      <c r="A38" s="81" t="s">
        <v>451</v>
      </c>
      <c r="B38" s="84" t="s">
        <v>454</v>
      </c>
      <c r="C38" s="63" t="str">
        <f>"619216861151"</f>
        <v>619216861151</v>
      </c>
      <c r="D38" s="45">
        <v>2.15</v>
      </c>
      <c r="E38" s="219" t="s">
        <v>420</v>
      </c>
      <c r="F38" s="248" t="s">
        <v>584</v>
      </c>
    </row>
    <row r="39" spans="1:6" x14ac:dyDescent="0.25">
      <c r="A39" s="78" t="s">
        <v>451</v>
      </c>
      <c r="B39" s="83" t="s">
        <v>455</v>
      </c>
      <c r="C39" s="65" t="str">
        <f>"619216861156"</f>
        <v>619216861156</v>
      </c>
      <c r="D39" s="38">
        <v>3.51</v>
      </c>
      <c r="E39" s="213" t="s">
        <v>419</v>
      </c>
      <c r="F39" s="246" t="s">
        <v>578</v>
      </c>
    </row>
    <row r="40" spans="1:6" x14ac:dyDescent="0.25">
      <c r="A40" s="80" t="s">
        <v>451</v>
      </c>
      <c r="B40" s="77" t="s">
        <v>455</v>
      </c>
      <c r="C40" s="27" t="str">
        <f>"619216861160"</f>
        <v>619216861160</v>
      </c>
      <c r="D40" s="9">
        <v>3.45</v>
      </c>
      <c r="E40" s="214" t="s">
        <v>419</v>
      </c>
      <c r="F40" s="247" t="s">
        <v>579</v>
      </c>
    </row>
    <row r="41" spans="1:6" x14ac:dyDescent="0.25">
      <c r="A41" s="80" t="s">
        <v>451</v>
      </c>
      <c r="B41" s="77" t="s">
        <v>455</v>
      </c>
      <c r="C41" s="27" t="str">
        <f>"619216861142"</f>
        <v>619216861142</v>
      </c>
      <c r="D41" s="9">
        <v>3.25</v>
      </c>
      <c r="E41" s="214" t="s">
        <v>419</v>
      </c>
      <c r="F41" s="247" t="s">
        <v>580</v>
      </c>
    </row>
    <row r="42" spans="1:6" x14ac:dyDescent="0.25">
      <c r="A42" s="80" t="s">
        <v>451</v>
      </c>
      <c r="B42" s="77" t="s">
        <v>455</v>
      </c>
      <c r="C42" s="27" t="str">
        <f>"619216861136"</f>
        <v>619216861136</v>
      </c>
      <c r="D42" s="9">
        <v>3.2</v>
      </c>
      <c r="E42" s="214" t="s">
        <v>419</v>
      </c>
      <c r="F42" s="247" t="s">
        <v>581</v>
      </c>
    </row>
    <row r="43" spans="1:6" x14ac:dyDescent="0.25">
      <c r="A43" s="80" t="s">
        <v>451</v>
      </c>
      <c r="B43" s="77" t="s">
        <v>455</v>
      </c>
      <c r="C43" s="27" t="str">
        <f>"619216861148"</f>
        <v>619216861148</v>
      </c>
      <c r="D43" s="9">
        <v>3.02</v>
      </c>
      <c r="E43" s="214" t="s">
        <v>419</v>
      </c>
      <c r="F43" s="247" t="s">
        <v>582</v>
      </c>
    </row>
    <row r="44" spans="1:6" x14ac:dyDescent="0.25">
      <c r="A44" s="80" t="s">
        <v>451</v>
      </c>
      <c r="B44" s="77" t="s">
        <v>455</v>
      </c>
      <c r="C44" s="27" t="str">
        <f>"619216861158"</f>
        <v>619216861158</v>
      </c>
      <c r="D44" s="9">
        <v>2.93</v>
      </c>
      <c r="E44" s="214" t="s">
        <v>419</v>
      </c>
      <c r="F44" s="247" t="s">
        <v>583</v>
      </c>
    </row>
    <row r="45" spans="1:6" x14ac:dyDescent="0.25">
      <c r="A45" s="80" t="s">
        <v>451</v>
      </c>
      <c r="B45" s="77" t="s">
        <v>455</v>
      </c>
      <c r="C45" s="27" t="str">
        <f>"619216861131"</f>
        <v>619216861131</v>
      </c>
      <c r="D45" s="9">
        <v>2.79</v>
      </c>
      <c r="E45" s="214" t="s">
        <v>419</v>
      </c>
      <c r="F45" s="247" t="s">
        <v>584</v>
      </c>
    </row>
    <row r="46" spans="1:6" x14ac:dyDescent="0.25">
      <c r="A46" s="80" t="s">
        <v>451</v>
      </c>
      <c r="B46" s="77" t="s">
        <v>455</v>
      </c>
      <c r="C46" s="27" t="str">
        <f>"619216861129"</f>
        <v>619216861129</v>
      </c>
      <c r="D46" s="9">
        <v>2.78</v>
      </c>
      <c r="E46" s="214" t="s">
        <v>419</v>
      </c>
      <c r="F46" s="247" t="s">
        <v>585</v>
      </c>
    </row>
    <row r="47" spans="1:6" ht="15.75" thickBot="1" x14ac:dyDescent="0.3">
      <c r="A47" s="81" t="s">
        <v>451</v>
      </c>
      <c r="B47" s="84" t="s">
        <v>455</v>
      </c>
      <c r="C47" s="63" t="str">
        <f>"619216861161"</f>
        <v>619216861161</v>
      </c>
      <c r="D47" s="45">
        <v>2.74</v>
      </c>
      <c r="E47" s="219" t="s">
        <v>420</v>
      </c>
      <c r="F47" s="248" t="s">
        <v>586</v>
      </c>
    </row>
    <row r="48" spans="1:6" x14ac:dyDescent="0.25">
      <c r="A48" s="47" t="s">
        <v>748</v>
      </c>
      <c r="B48" s="83" t="s">
        <v>454</v>
      </c>
      <c r="C48" s="49" t="str">
        <f>"619217862123"</f>
        <v>619217862123</v>
      </c>
      <c r="D48" s="397">
        <v>3.52</v>
      </c>
      <c r="E48" s="213" t="s">
        <v>419</v>
      </c>
      <c r="F48" s="398" t="s">
        <v>578</v>
      </c>
    </row>
    <row r="49" spans="1:6" x14ac:dyDescent="0.25">
      <c r="A49" s="50" t="s">
        <v>748</v>
      </c>
      <c r="B49" s="77" t="s">
        <v>454</v>
      </c>
      <c r="C49" s="2" t="str">
        <f>"619217862111"</f>
        <v>619217862111</v>
      </c>
      <c r="D49" s="2">
        <v>3.45</v>
      </c>
      <c r="E49" s="214" t="s">
        <v>419</v>
      </c>
      <c r="F49" s="364" t="s">
        <v>579</v>
      </c>
    </row>
    <row r="50" spans="1:6" x14ac:dyDescent="0.25">
      <c r="A50" s="50" t="s">
        <v>748</v>
      </c>
      <c r="B50" s="77" t="s">
        <v>454</v>
      </c>
      <c r="C50" s="2" t="str">
        <f>"619217862113"</f>
        <v>619217862113</v>
      </c>
      <c r="D50" s="2">
        <v>3.39</v>
      </c>
      <c r="E50" s="214" t="s">
        <v>419</v>
      </c>
      <c r="F50" s="364" t="s">
        <v>580</v>
      </c>
    </row>
    <row r="51" spans="1:6" x14ac:dyDescent="0.25">
      <c r="A51" s="50" t="s">
        <v>748</v>
      </c>
      <c r="B51" s="77" t="s">
        <v>454</v>
      </c>
      <c r="C51" s="2" t="str">
        <f>"619217862124"</f>
        <v>619217862124</v>
      </c>
      <c r="D51" s="2">
        <v>3.31</v>
      </c>
      <c r="E51" s="214" t="s">
        <v>419</v>
      </c>
      <c r="F51" s="364" t="s">
        <v>581</v>
      </c>
    </row>
    <row r="52" spans="1:6" x14ac:dyDescent="0.25">
      <c r="A52" s="50" t="s">
        <v>748</v>
      </c>
      <c r="B52" s="77" t="s">
        <v>454</v>
      </c>
      <c r="C52" s="2" t="str">
        <f>"619217862128"</f>
        <v>619217862128</v>
      </c>
      <c r="D52" s="2">
        <v>3.17</v>
      </c>
      <c r="E52" s="214" t="s">
        <v>419</v>
      </c>
      <c r="F52" s="364" t="s">
        <v>582</v>
      </c>
    </row>
    <row r="53" spans="1:6" x14ac:dyDescent="0.25">
      <c r="A53" s="50" t="s">
        <v>748</v>
      </c>
      <c r="B53" s="77" t="s">
        <v>454</v>
      </c>
      <c r="C53" s="2" t="str">
        <f>"619217862112"</f>
        <v>619217862112</v>
      </c>
      <c r="D53" s="2">
        <v>2.83</v>
      </c>
      <c r="E53" s="214" t="s">
        <v>419</v>
      </c>
      <c r="F53" s="364" t="s">
        <v>583</v>
      </c>
    </row>
    <row r="54" spans="1:6" ht="15.75" thickBot="1" x14ac:dyDescent="0.3">
      <c r="A54" s="42" t="s">
        <v>748</v>
      </c>
      <c r="B54" s="84" t="s">
        <v>454</v>
      </c>
      <c r="C54" s="51" t="str">
        <f>"619217862115"</f>
        <v>619217862115</v>
      </c>
      <c r="D54" s="51">
        <v>2.76</v>
      </c>
      <c r="E54" s="219" t="s">
        <v>420</v>
      </c>
      <c r="F54" s="399" t="s">
        <v>584</v>
      </c>
    </row>
    <row r="55" spans="1:6" x14ac:dyDescent="0.25">
      <c r="A55" s="185" t="s">
        <v>748</v>
      </c>
      <c r="B55" s="395" t="s">
        <v>455</v>
      </c>
      <c r="C55" s="86" t="str">
        <f>"619217862117"</f>
        <v>619217862117</v>
      </c>
      <c r="D55" s="86">
        <v>3.66</v>
      </c>
      <c r="E55" s="233" t="s">
        <v>419</v>
      </c>
      <c r="F55" s="396" t="s">
        <v>578</v>
      </c>
    </row>
    <row r="56" spans="1:6" x14ac:dyDescent="0.25">
      <c r="A56" s="5" t="s">
        <v>748</v>
      </c>
      <c r="B56" s="77" t="s">
        <v>455</v>
      </c>
      <c r="C56" s="2" t="str">
        <f>"619217862122"</f>
        <v>619217862122</v>
      </c>
      <c r="D56" s="2">
        <v>3.62</v>
      </c>
      <c r="E56" s="225" t="s">
        <v>419</v>
      </c>
      <c r="F56" s="371" t="s">
        <v>579</v>
      </c>
    </row>
    <row r="57" spans="1:6" x14ac:dyDescent="0.25">
      <c r="A57" s="5" t="s">
        <v>748</v>
      </c>
      <c r="B57" s="77" t="s">
        <v>455</v>
      </c>
      <c r="C57" s="2" t="str">
        <f>"619217862118"</f>
        <v>619217862118</v>
      </c>
      <c r="D57" s="2">
        <v>3.33</v>
      </c>
      <c r="E57" s="225" t="s">
        <v>419</v>
      </c>
      <c r="F57" s="371" t="s">
        <v>580</v>
      </c>
    </row>
    <row r="58" spans="1:6" x14ac:dyDescent="0.25">
      <c r="A58" s="5" t="s">
        <v>748</v>
      </c>
      <c r="B58" s="77" t="s">
        <v>455</v>
      </c>
      <c r="C58" s="2" t="str">
        <f>"619217862116"</f>
        <v>619217862116</v>
      </c>
      <c r="D58" s="2">
        <v>3.3</v>
      </c>
      <c r="E58" s="225" t="s">
        <v>419</v>
      </c>
      <c r="F58" s="371" t="s">
        <v>581</v>
      </c>
    </row>
    <row r="59" spans="1:6" x14ac:dyDescent="0.25">
      <c r="A59" s="5" t="s">
        <v>748</v>
      </c>
      <c r="B59" s="77" t="s">
        <v>455</v>
      </c>
      <c r="C59" s="2" t="str">
        <f>"619217862121"</f>
        <v>619217862121</v>
      </c>
      <c r="D59" s="2">
        <v>3.26</v>
      </c>
      <c r="E59" s="225" t="s">
        <v>419</v>
      </c>
      <c r="F59" s="371" t="s">
        <v>582</v>
      </c>
    </row>
    <row r="60" spans="1:6" x14ac:dyDescent="0.25">
      <c r="A60" s="5" t="s">
        <v>748</v>
      </c>
      <c r="B60" s="77" t="s">
        <v>455</v>
      </c>
      <c r="C60" s="2" t="str">
        <f>"619217862127"</f>
        <v>619217862127</v>
      </c>
      <c r="D60" s="2">
        <v>3.12</v>
      </c>
      <c r="E60" s="225" t="s">
        <v>419</v>
      </c>
      <c r="F60" s="371" t="s">
        <v>583</v>
      </c>
    </row>
    <row r="61" spans="1:6" x14ac:dyDescent="0.25">
      <c r="A61" s="5" t="s">
        <v>748</v>
      </c>
      <c r="B61" s="77" t="s">
        <v>455</v>
      </c>
      <c r="C61" s="2" t="str">
        <f>"619217862120"</f>
        <v>619217862120</v>
      </c>
      <c r="D61" s="2">
        <v>2.8</v>
      </c>
      <c r="E61" s="225" t="s">
        <v>419</v>
      </c>
      <c r="F61" s="371" t="s">
        <v>584</v>
      </c>
    </row>
    <row r="62" spans="1:6" x14ac:dyDescent="0.25">
      <c r="A62" s="5" t="s">
        <v>748</v>
      </c>
      <c r="B62" s="77" t="s">
        <v>455</v>
      </c>
      <c r="C62" s="2" t="str">
        <f>"619217862125"</f>
        <v>619217862125</v>
      </c>
      <c r="D62" s="2">
        <v>2.75</v>
      </c>
      <c r="E62" s="225" t="s">
        <v>419</v>
      </c>
      <c r="F62" s="371" t="s">
        <v>585</v>
      </c>
    </row>
    <row r="63" spans="1:6" x14ac:dyDescent="0.25">
      <c r="A63" s="5" t="s">
        <v>748</v>
      </c>
      <c r="B63" s="77" t="s">
        <v>455</v>
      </c>
      <c r="C63" s="2" t="str">
        <f>"619217862114"</f>
        <v>619217862114</v>
      </c>
      <c r="D63" s="2">
        <v>2.71</v>
      </c>
      <c r="E63" s="225" t="s">
        <v>419</v>
      </c>
      <c r="F63" s="371" t="s">
        <v>586</v>
      </c>
    </row>
    <row r="64" spans="1:6" x14ac:dyDescent="0.25">
      <c r="A64" s="5" t="s">
        <v>748</v>
      </c>
      <c r="B64" s="77" t="s">
        <v>455</v>
      </c>
      <c r="C64" s="2" t="str">
        <f>"619217862119"</f>
        <v>619217862119</v>
      </c>
      <c r="D64" s="2">
        <v>2.69</v>
      </c>
      <c r="E64" s="225" t="s">
        <v>419</v>
      </c>
      <c r="F64" s="371" t="s">
        <v>587</v>
      </c>
    </row>
    <row r="65" spans="1:6" ht="15.75" thickBot="1" x14ac:dyDescent="0.3">
      <c r="A65" s="106" t="s">
        <v>748</v>
      </c>
      <c r="B65" s="488" t="s">
        <v>455</v>
      </c>
      <c r="C65" s="179" t="str">
        <f>"619217862126"</f>
        <v>619217862126</v>
      </c>
      <c r="D65" s="179">
        <v>2.54</v>
      </c>
      <c r="E65" s="366" t="s">
        <v>419</v>
      </c>
      <c r="F65" s="489" t="s">
        <v>588</v>
      </c>
    </row>
    <row r="66" spans="1:6" x14ac:dyDescent="0.25">
      <c r="A66" s="47" t="s">
        <v>897</v>
      </c>
      <c r="B66" s="165" t="s">
        <v>452</v>
      </c>
      <c r="C66" s="49" t="s">
        <v>879</v>
      </c>
      <c r="D66" s="49">
        <v>3.4</v>
      </c>
      <c r="E66" s="228" t="s">
        <v>419</v>
      </c>
      <c r="F66" s="246" t="s">
        <v>578</v>
      </c>
    </row>
    <row r="67" spans="1:6" x14ac:dyDescent="0.25">
      <c r="A67" s="50" t="s">
        <v>897</v>
      </c>
      <c r="B67" s="76" t="s">
        <v>452</v>
      </c>
      <c r="C67" s="2" t="s">
        <v>880</v>
      </c>
      <c r="D67" s="2">
        <v>3.19</v>
      </c>
      <c r="E67" s="225" t="s">
        <v>419</v>
      </c>
      <c r="F67" s="247" t="s">
        <v>579</v>
      </c>
    </row>
    <row r="68" spans="1:6" x14ac:dyDescent="0.25">
      <c r="A68" s="50" t="s">
        <v>897</v>
      </c>
      <c r="B68" s="76" t="s">
        <v>452</v>
      </c>
      <c r="C68" s="2" t="s">
        <v>881</v>
      </c>
      <c r="D68" s="2">
        <v>3.18</v>
      </c>
      <c r="E68" s="225" t="s">
        <v>419</v>
      </c>
      <c r="F68" s="247" t="s">
        <v>580</v>
      </c>
    </row>
    <row r="69" spans="1:6" x14ac:dyDescent="0.25">
      <c r="A69" s="50" t="s">
        <v>897</v>
      </c>
      <c r="B69" s="76" t="s">
        <v>452</v>
      </c>
      <c r="C69" s="2" t="s">
        <v>882</v>
      </c>
      <c r="D69" s="2">
        <v>3.15</v>
      </c>
      <c r="E69" s="225" t="s">
        <v>419</v>
      </c>
      <c r="F69" s="247" t="s">
        <v>581</v>
      </c>
    </row>
    <row r="70" spans="1:6" x14ac:dyDescent="0.25">
      <c r="A70" s="50" t="s">
        <v>897</v>
      </c>
      <c r="B70" s="76" t="s">
        <v>452</v>
      </c>
      <c r="C70" s="2" t="s">
        <v>883</v>
      </c>
      <c r="D70" s="2">
        <v>3.12</v>
      </c>
      <c r="E70" s="225" t="s">
        <v>419</v>
      </c>
      <c r="F70" s="247" t="s">
        <v>582</v>
      </c>
    </row>
    <row r="71" spans="1:6" x14ac:dyDescent="0.25">
      <c r="A71" s="50" t="s">
        <v>897</v>
      </c>
      <c r="B71" s="76" t="s">
        <v>452</v>
      </c>
      <c r="C71" s="2" t="s">
        <v>884</v>
      </c>
      <c r="D71" s="2">
        <v>3.0800000000000005</v>
      </c>
      <c r="E71" s="225" t="s">
        <v>419</v>
      </c>
      <c r="F71" s="247" t="s">
        <v>583</v>
      </c>
    </row>
    <row r="72" spans="1:6" x14ac:dyDescent="0.25">
      <c r="A72" s="50" t="s">
        <v>897</v>
      </c>
      <c r="B72" s="76" t="s">
        <v>452</v>
      </c>
      <c r="C72" s="2" t="s">
        <v>885</v>
      </c>
      <c r="D72" s="2">
        <v>3.0700000000000003</v>
      </c>
      <c r="E72" s="225" t="s">
        <v>419</v>
      </c>
      <c r="F72" s="247" t="s">
        <v>584</v>
      </c>
    </row>
    <row r="73" spans="1:6" x14ac:dyDescent="0.25">
      <c r="A73" s="50" t="s">
        <v>897</v>
      </c>
      <c r="B73" s="76" t="s">
        <v>452</v>
      </c>
      <c r="C73" s="2" t="s">
        <v>886</v>
      </c>
      <c r="D73" s="2">
        <v>3.0399999999999996</v>
      </c>
      <c r="E73" s="226" t="s">
        <v>420</v>
      </c>
      <c r="F73" s="247" t="s">
        <v>585</v>
      </c>
    </row>
    <row r="74" spans="1:6" x14ac:dyDescent="0.25">
      <c r="A74" s="50" t="s">
        <v>897</v>
      </c>
      <c r="B74" s="76" t="s">
        <v>452</v>
      </c>
      <c r="C74" s="2" t="s">
        <v>887</v>
      </c>
      <c r="D74" s="2">
        <v>3.0000000000000004</v>
      </c>
      <c r="E74" s="226" t="s">
        <v>420</v>
      </c>
      <c r="F74" s="247" t="s">
        <v>586</v>
      </c>
    </row>
    <row r="75" spans="1:6" x14ac:dyDescent="0.25">
      <c r="A75" s="50" t="s">
        <v>897</v>
      </c>
      <c r="B75" s="76" t="s">
        <v>452</v>
      </c>
      <c r="C75" s="2" t="s">
        <v>888</v>
      </c>
      <c r="D75" s="2">
        <v>2.9899999999999998</v>
      </c>
      <c r="E75" s="226" t="s">
        <v>420</v>
      </c>
      <c r="F75" s="247" t="s">
        <v>587</v>
      </c>
    </row>
    <row r="76" spans="1:6" x14ac:dyDescent="0.25">
      <c r="A76" s="50" t="s">
        <v>897</v>
      </c>
      <c r="B76" s="76" t="s">
        <v>452</v>
      </c>
      <c r="C76" s="2" t="s">
        <v>889</v>
      </c>
      <c r="D76" s="2">
        <v>2.8399999999999994</v>
      </c>
      <c r="E76" s="226" t="s">
        <v>420</v>
      </c>
      <c r="F76" s="247" t="s">
        <v>588</v>
      </c>
    </row>
    <row r="77" spans="1:6" x14ac:dyDescent="0.25">
      <c r="A77" s="50" t="s">
        <v>897</v>
      </c>
      <c r="B77" s="76" t="s">
        <v>452</v>
      </c>
      <c r="C77" s="2" t="s">
        <v>890</v>
      </c>
      <c r="D77" s="2">
        <v>2.74</v>
      </c>
      <c r="E77" s="226" t="s">
        <v>420</v>
      </c>
      <c r="F77" s="247" t="s">
        <v>589</v>
      </c>
    </row>
    <row r="78" spans="1:6" x14ac:dyDescent="0.25">
      <c r="A78" s="50" t="s">
        <v>897</v>
      </c>
      <c r="B78" s="76" t="s">
        <v>452</v>
      </c>
      <c r="C78" s="2" t="s">
        <v>891</v>
      </c>
      <c r="D78" s="2">
        <v>2.72</v>
      </c>
      <c r="E78" s="226" t="s">
        <v>420</v>
      </c>
      <c r="F78" s="247" t="s">
        <v>590</v>
      </c>
    </row>
    <row r="79" spans="1:6" x14ac:dyDescent="0.25">
      <c r="A79" s="50" t="s">
        <v>897</v>
      </c>
      <c r="B79" s="76" t="s">
        <v>452</v>
      </c>
      <c r="C79" s="2" t="s">
        <v>892</v>
      </c>
      <c r="D79" s="2">
        <v>2.6799999999999997</v>
      </c>
      <c r="E79" s="226" t="s">
        <v>420</v>
      </c>
      <c r="F79" s="247" t="s">
        <v>591</v>
      </c>
    </row>
    <row r="80" spans="1:6" x14ac:dyDescent="0.25">
      <c r="A80" s="50" t="s">
        <v>897</v>
      </c>
      <c r="B80" s="76" t="s">
        <v>452</v>
      </c>
      <c r="C80" s="2" t="s">
        <v>893</v>
      </c>
      <c r="D80" s="2">
        <v>2.6399999999999997</v>
      </c>
      <c r="E80" s="226" t="s">
        <v>420</v>
      </c>
      <c r="F80" s="247" t="s">
        <v>592</v>
      </c>
    </row>
    <row r="81" spans="1:6" x14ac:dyDescent="0.25">
      <c r="A81" s="50" t="s">
        <v>897</v>
      </c>
      <c r="B81" s="76" t="s">
        <v>452</v>
      </c>
      <c r="C81" s="2" t="s">
        <v>894</v>
      </c>
      <c r="D81" s="2">
        <v>2.5999999999999996</v>
      </c>
      <c r="E81" s="226" t="s">
        <v>420</v>
      </c>
      <c r="F81" s="247" t="s">
        <v>593</v>
      </c>
    </row>
    <row r="82" spans="1:6" x14ac:dyDescent="0.25">
      <c r="A82" s="50" t="s">
        <v>897</v>
      </c>
      <c r="B82" s="76" t="s">
        <v>452</v>
      </c>
      <c r="C82" s="2" t="s">
        <v>895</v>
      </c>
      <c r="D82" s="2">
        <v>2.3999999999999995</v>
      </c>
      <c r="E82" s="226" t="s">
        <v>420</v>
      </c>
      <c r="F82" s="247" t="s">
        <v>594</v>
      </c>
    </row>
    <row r="83" spans="1:6" ht="15.75" thickBot="1" x14ac:dyDescent="0.3">
      <c r="A83" s="117" t="s">
        <v>897</v>
      </c>
      <c r="B83" s="303" t="s">
        <v>452</v>
      </c>
      <c r="C83" s="179" t="s">
        <v>896</v>
      </c>
      <c r="D83" s="179">
        <v>2.3699999999999997</v>
      </c>
      <c r="E83" s="383" t="s">
        <v>420</v>
      </c>
      <c r="F83" s="373" t="s">
        <v>595</v>
      </c>
    </row>
    <row r="84" spans="1:6" x14ac:dyDescent="0.25">
      <c r="A84" s="490" t="s">
        <v>897</v>
      </c>
      <c r="B84" s="83" t="s">
        <v>453</v>
      </c>
      <c r="C84" s="49" t="s">
        <v>898</v>
      </c>
      <c r="D84" s="49">
        <v>3.21</v>
      </c>
      <c r="E84" s="228" t="s">
        <v>419</v>
      </c>
      <c r="F84" s="246" t="s">
        <v>578</v>
      </c>
    </row>
    <row r="85" spans="1:6" x14ac:dyDescent="0.25">
      <c r="A85" s="491" t="s">
        <v>897</v>
      </c>
      <c r="B85" s="77" t="s">
        <v>453</v>
      </c>
      <c r="C85" s="2" t="s">
        <v>899</v>
      </c>
      <c r="D85" s="2">
        <v>3.1399999999999997</v>
      </c>
      <c r="E85" s="225" t="s">
        <v>419</v>
      </c>
      <c r="F85" s="247" t="s">
        <v>579</v>
      </c>
    </row>
    <row r="86" spans="1:6" x14ac:dyDescent="0.25">
      <c r="A86" s="491" t="s">
        <v>897</v>
      </c>
      <c r="B86" s="77" t="s">
        <v>453</v>
      </c>
      <c r="C86" s="2" t="s">
        <v>900</v>
      </c>
      <c r="D86" s="2">
        <v>2.8799999999999994</v>
      </c>
      <c r="E86" s="225" t="s">
        <v>419</v>
      </c>
      <c r="F86" s="247" t="s">
        <v>580</v>
      </c>
    </row>
    <row r="87" spans="1:6" x14ac:dyDescent="0.25">
      <c r="A87" s="491" t="s">
        <v>897</v>
      </c>
      <c r="B87" s="77" t="s">
        <v>453</v>
      </c>
      <c r="C87" s="2" t="s">
        <v>901</v>
      </c>
      <c r="D87" s="2">
        <v>2.85</v>
      </c>
      <c r="E87" s="225" t="s">
        <v>419</v>
      </c>
      <c r="F87" s="247" t="s">
        <v>581</v>
      </c>
    </row>
    <row r="88" spans="1:6" x14ac:dyDescent="0.25">
      <c r="A88" s="491" t="s">
        <v>897</v>
      </c>
      <c r="B88" s="77" t="s">
        <v>453</v>
      </c>
      <c r="C88" s="2" t="s">
        <v>902</v>
      </c>
      <c r="D88" s="2">
        <v>2.77</v>
      </c>
      <c r="E88" s="226" t="s">
        <v>420</v>
      </c>
      <c r="F88" s="247" t="s">
        <v>582</v>
      </c>
    </row>
    <row r="89" spans="1:6" x14ac:dyDescent="0.25">
      <c r="A89" s="491" t="s">
        <v>897</v>
      </c>
      <c r="B89" s="77" t="s">
        <v>453</v>
      </c>
      <c r="C89" s="2" t="s">
        <v>903</v>
      </c>
      <c r="D89" s="2">
        <v>2.76</v>
      </c>
      <c r="E89" s="226" t="s">
        <v>420</v>
      </c>
      <c r="F89" s="247" t="s">
        <v>583</v>
      </c>
    </row>
    <row r="90" spans="1:6" x14ac:dyDescent="0.25">
      <c r="A90" s="491" t="s">
        <v>897</v>
      </c>
      <c r="B90" s="77" t="s">
        <v>453</v>
      </c>
      <c r="C90" s="2" t="s">
        <v>904</v>
      </c>
      <c r="D90" s="2">
        <v>2.69</v>
      </c>
      <c r="E90" s="226" t="s">
        <v>420</v>
      </c>
      <c r="F90" s="247" t="s">
        <v>584</v>
      </c>
    </row>
    <row r="91" spans="1:6" ht="15.75" thickBot="1" x14ac:dyDescent="0.3">
      <c r="A91" s="565" t="s">
        <v>897</v>
      </c>
      <c r="B91" s="488" t="s">
        <v>453</v>
      </c>
      <c r="C91" s="179" t="s">
        <v>905</v>
      </c>
      <c r="D91" s="179">
        <v>2.6399999999999997</v>
      </c>
      <c r="E91" s="383" t="s">
        <v>420</v>
      </c>
      <c r="F91" s="373" t="s">
        <v>585</v>
      </c>
    </row>
    <row r="92" spans="1:6" x14ac:dyDescent="0.25">
      <c r="A92" s="566" t="s">
        <v>1070</v>
      </c>
      <c r="B92" s="83" t="s">
        <v>452</v>
      </c>
      <c r="C92" s="49" t="str">
        <f>"619217863121"</f>
        <v>619217863121</v>
      </c>
      <c r="D92" s="49">
        <v>3.3</v>
      </c>
      <c r="E92" s="228" t="s">
        <v>419</v>
      </c>
      <c r="F92" s="246" t="s">
        <v>578</v>
      </c>
    </row>
    <row r="93" spans="1:6" x14ac:dyDescent="0.25">
      <c r="A93" s="567" t="s">
        <v>1070</v>
      </c>
      <c r="B93" s="77" t="s">
        <v>452</v>
      </c>
      <c r="C93" s="2" t="str">
        <f>"619217863116"</f>
        <v>619217863116</v>
      </c>
      <c r="D93" s="2">
        <v>3.23</v>
      </c>
      <c r="E93" s="225" t="s">
        <v>419</v>
      </c>
      <c r="F93" s="247" t="s">
        <v>579</v>
      </c>
    </row>
    <row r="94" spans="1:6" x14ac:dyDescent="0.25">
      <c r="A94" s="567" t="s">
        <v>1070</v>
      </c>
      <c r="B94" s="77" t="s">
        <v>452</v>
      </c>
      <c r="C94" s="2" t="str">
        <f>"619217863118"</f>
        <v>619217863118</v>
      </c>
      <c r="D94" s="2">
        <v>3.06</v>
      </c>
      <c r="E94" s="225" t="s">
        <v>419</v>
      </c>
      <c r="F94" s="247" t="s">
        <v>580</v>
      </c>
    </row>
    <row r="95" spans="1:6" x14ac:dyDescent="0.25">
      <c r="A95" s="567" t="s">
        <v>1070</v>
      </c>
      <c r="B95" s="77" t="s">
        <v>452</v>
      </c>
      <c r="C95" s="2" t="str">
        <f>"619217863119"</f>
        <v>619217863119</v>
      </c>
      <c r="D95" s="2">
        <v>3.02</v>
      </c>
      <c r="E95" s="225" t="s">
        <v>419</v>
      </c>
      <c r="F95" s="247" t="s">
        <v>581</v>
      </c>
    </row>
    <row r="96" spans="1:6" x14ac:dyDescent="0.25">
      <c r="A96" s="567" t="s">
        <v>1070</v>
      </c>
      <c r="B96" s="77" t="s">
        <v>452</v>
      </c>
      <c r="C96" s="2" t="str">
        <f>"619217863120"</f>
        <v>619217863120</v>
      </c>
      <c r="D96" s="2">
        <v>2.82</v>
      </c>
      <c r="E96" s="225" t="s">
        <v>419</v>
      </c>
      <c r="F96" s="247" t="s">
        <v>582</v>
      </c>
    </row>
    <row r="97" spans="1:6" x14ac:dyDescent="0.25">
      <c r="A97" s="567" t="s">
        <v>1070</v>
      </c>
      <c r="B97" s="77" t="s">
        <v>452</v>
      </c>
      <c r="C97" s="2" t="str">
        <f>"619217863122"</f>
        <v>619217863122</v>
      </c>
      <c r="D97" s="2">
        <v>2.4700000000000002</v>
      </c>
      <c r="E97" s="226" t="s">
        <v>420</v>
      </c>
      <c r="F97" s="247" t="s">
        <v>583</v>
      </c>
    </row>
    <row r="98" spans="1:6" x14ac:dyDescent="0.25">
      <c r="A98" s="567" t="s">
        <v>1070</v>
      </c>
      <c r="B98" s="77" t="s">
        <v>452</v>
      </c>
      <c r="C98" s="2" t="str">
        <f>"619217863123"</f>
        <v>619217863123</v>
      </c>
      <c r="D98" s="2">
        <v>2.4300000000000002</v>
      </c>
      <c r="E98" s="226" t="s">
        <v>420</v>
      </c>
      <c r="F98" s="247" t="s">
        <v>584</v>
      </c>
    </row>
    <row r="99" spans="1:6" ht="15.75" thickBot="1" x14ac:dyDescent="0.3">
      <c r="A99" s="568" t="s">
        <v>1070</v>
      </c>
      <c r="B99" s="488" t="s">
        <v>452</v>
      </c>
      <c r="C99" s="179" t="str">
        <f>"619217863113"</f>
        <v>619217863113</v>
      </c>
      <c r="D99" s="179">
        <v>1.86</v>
      </c>
      <c r="E99" s="383" t="s">
        <v>420</v>
      </c>
      <c r="F99" s="373" t="s">
        <v>585</v>
      </c>
    </row>
    <row r="100" spans="1:6" x14ac:dyDescent="0.25">
      <c r="A100" s="566" t="s">
        <v>1070</v>
      </c>
      <c r="B100" s="83" t="s">
        <v>453</v>
      </c>
      <c r="C100" s="49" t="str">
        <f>"619217863114"</f>
        <v>619217863114</v>
      </c>
      <c r="D100" s="49">
        <v>2.85</v>
      </c>
      <c r="E100" s="228" t="s">
        <v>419</v>
      </c>
      <c r="F100" s="246" t="s">
        <v>578</v>
      </c>
    </row>
    <row r="101" spans="1:6" x14ac:dyDescent="0.25">
      <c r="A101" s="567" t="s">
        <v>1070</v>
      </c>
      <c r="B101" s="77" t="s">
        <v>453</v>
      </c>
      <c r="C101" s="2" t="str">
        <f>"619217863115"</f>
        <v>619217863115</v>
      </c>
      <c r="D101" s="2">
        <v>2.8</v>
      </c>
      <c r="E101" s="225" t="s">
        <v>419</v>
      </c>
      <c r="F101" s="247" t="s">
        <v>579</v>
      </c>
    </row>
    <row r="102" spans="1:6" x14ac:dyDescent="0.25">
      <c r="A102" s="567" t="s">
        <v>1070</v>
      </c>
      <c r="B102" s="77" t="s">
        <v>453</v>
      </c>
      <c r="C102" s="2" t="str">
        <f>"619217863128"</f>
        <v>619217863128</v>
      </c>
      <c r="D102" s="2">
        <v>2.79</v>
      </c>
      <c r="E102" s="225" t="s">
        <v>419</v>
      </c>
      <c r="F102" s="247" t="s">
        <v>580</v>
      </c>
    </row>
    <row r="103" spans="1:6" x14ac:dyDescent="0.25">
      <c r="A103" s="567" t="s">
        <v>1070</v>
      </c>
      <c r="B103" s="77" t="s">
        <v>453</v>
      </c>
      <c r="C103" s="2" t="str">
        <f>"619217863125"</f>
        <v>619217863125</v>
      </c>
      <c r="D103" s="2">
        <v>2.7</v>
      </c>
      <c r="E103" s="225" t="s">
        <v>419</v>
      </c>
      <c r="F103" s="247" t="s">
        <v>581</v>
      </c>
    </row>
    <row r="104" spans="1:6" x14ac:dyDescent="0.25">
      <c r="A104" s="567" t="s">
        <v>1070</v>
      </c>
      <c r="B104" s="77" t="s">
        <v>453</v>
      </c>
      <c r="C104" s="2" t="str">
        <f>"619217863126"</f>
        <v>619217863126</v>
      </c>
      <c r="D104" s="2">
        <v>2.48</v>
      </c>
      <c r="E104" s="226" t="s">
        <v>420</v>
      </c>
      <c r="F104" s="247" t="s">
        <v>582</v>
      </c>
    </row>
    <row r="105" spans="1:6" x14ac:dyDescent="0.25">
      <c r="A105" s="567" t="s">
        <v>1070</v>
      </c>
      <c r="B105" s="77" t="s">
        <v>453</v>
      </c>
      <c r="C105" s="2" t="str">
        <f>"619217863127"</f>
        <v>619217863127</v>
      </c>
      <c r="D105" s="2">
        <v>2.46</v>
      </c>
      <c r="E105" s="226" t="s">
        <v>420</v>
      </c>
      <c r="F105" s="247" t="s">
        <v>583</v>
      </c>
    </row>
    <row r="106" spans="1:6" x14ac:dyDescent="0.25">
      <c r="A106" s="568" t="s">
        <v>1070</v>
      </c>
      <c r="B106" s="488" t="s">
        <v>453</v>
      </c>
      <c r="C106" s="179" t="str">
        <f>"619217863124"</f>
        <v>619217863124</v>
      </c>
      <c r="D106" s="179">
        <v>2.4500000000000002</v>
      </c>
      <c r="E106" s="383" t="s">
        <v>420</v>
      </c>
      <c r="F106" s="373" t="s">
        <v>584</v>
      </c>
    </row>
    <row r="107" spans="1:6" x14ac:dyDescent="0.25">
      <c r="A107" s="582" t="s">
        <v>1081</v>
      </c>
      <c r="B107" s="77" t="s">
        <v>454</v>
      </c>
      <c r="C107" s="581">
        <v>619217873628</v>
      </c>
      <c r="D107" s="2">
        <v>3.27</v>
      </c>
      <c r="E107" s="225" t="s">
        <v>419</v>
      </c>
      <c r="F107" s="371" t="s">
        <v>578</v>
      </c>
    </row>
    <row r="108" spans="1:6" x14ac:dyDescent="0.25">
      <c r="A108" s="582" t="s">
        <v>1081</v>
      </c>
      <c r="B108" s="77" t="s">
        <v>454</v>
      </c>
      <c r="C108" s="581">
        <v>619217873630</v>
      </c>
      <c r="D108" s="2">
        <v>2.99</v>
      </c>
      <c r="E108" s="225" t="s">
        <v>419</v>
      </c>
      <c r="F108" s="371" t="s">
        <v>579</v>
      </c>
    </row>
    <row r="109" spans="1:6" x14ac:dyDescent="0.25">
      <c r="A109" s="582" t="s">
        <v>1081</v>
      </c>
      <c r="B109" s="77" t="s">
        <v>454</v>
      </c>
      <c r="C109" s="581">
        <v>619217873638</v>
      </c>
      <c r="D109" s="26">
        <v>2.96</v>
      </c>
      <c r="E109" s="225" t="s">
        <v>419</v>
      </c>
      <c r="F109" s="371" t="s">
        <v>580</v>
      </c>
    </row>
    <row r="110" spans="1:6" x14ac:dyDescent="0.25">
      <c r="A110" s="371" t="s">
        <v>1081</v>
      </c>
      <c r="B110" s="26" t="s">
        <v>454</v>
      </c>
      <c r="C110" s="581">
        <v>619217873634</v>
      </c>
      <c r="D110" s="26">
        <v>2.4700000000000002</v>
      </c>
      <c r="E110" s="226" t="s">
        <v>420</v>
      </c>
      <c r="F110" s="371" t="s">
        <v>581</v>
      </c>
    </row>
    <row r="111" spans="1:6" x14ac:dyDescent="0.25">
      <c r="A111" s="582" t="s">
        <v>1081</v>
      </c>
      <c r="B111" s="77" t="s">
        <v>1082</v>
      </c>
      <c r="C111" s="583">
        <v>619217873626</v>
      </c>
      <c r="D111" s="26">
        <v>3.39</v>
      </c>
      <c r="E111" s="225" t="s">
        <v>419</v>
      </c>
      <c r="F111" s="371" t="s">
        <v>578</v>
      </c>
    </row>
    <row r="112" spans="1:6" x14ac:dyDescent="0.25">
      <c r="A112" s="582" t="s">
        <v>1081</v>
      </c>
      <c r="B112" s="77" t="s">
        <v>1082</v>
      </c>
      <c r="C112" s="581">
        <v>619217873639</v>
      </c>
      <c r="D112" s="26">
        <v>3.35</v>
      </c>
      <c r="E112" s="225" t="s">
        <v>419</v>
      </c>
      <c r="F112" s="371" t="s">
        <v>579</v>
      </c>
    </row>
    <row r="113" spans="1:6" x14ac:dyDescent="0.25">
      <c r="A113" s="582" t="s">
        <v>1081</v>
      </c>
      <c r="B113" s="77" t="s">
        <v>1082</v>
      </c>
      <c r="C113" s="581">
        <v>619217873620</v>
      </c>
      <c r="D113" s="26">
        <v>3.27</v>
      </c>
      <c r="E113" s="225" t="s">
        <v>419</v>
      </c>
      <c r="F113" s="371" t="s">
        <v>580</v>
      </c>
    </row>
    <row r="114" spans="1:6" x14ac:dyDescent="0.25">
      <c r="A114" s="582" t="s">
        <v>1081</v>
      </c>
      <c r="B114" s="77" t="s">
        <v>1082</v>
      </c>
      <c r="C114" s="581">
        <v>619217873624</v>
      </c>
      <c r="D114" s="26">
        <v>3.24</v>
      </c>
      <c r="E114" s="225" t="s">
        <v>419</v>
      </c>
      <c r="F114" s="371" t="s">
        <v>581</v>
      </c>
    </row>
    <row r="115" spans="1:6" x14ac:dyDescent="0.25">
      <c r="A115" s="582" t="s">
        <v>1081</v>
      </c>
      <c r="B115" s="77" t="s">
        <v>1082</v>
      </c>
      <c r="C115" s="581">
        <v>619217873625</v>
      </c>
      <c r="D115" s="26">
        <v>3.04</v>
      </c>
      <c r="E115" s="225" t="s">
        <v>419</v>
      </c>
      <c r="F115" s="371" t="s">
        <v>582</v>
      </c>
    </row>
    <row r="116" spans="1:6" x14ac:dyDescent="0.25">
      <c r="A116" s="582" t="s">
        <v>1081</v>
      </c>
      <c r="B116" s="77" t="s">
        <v>1082</v>
      </c>
      <c r="C116" s="581">
        <v>619217873621</v>
      </c>
      <c r="D116" s="26">
        <v>3</v>
      </c>
      <c r="E116" s="225" t="s">
        <v>419</v>
      </c>
      <c r="F116" s="371" t="s">
        <v>583</v>
      </c>
    </row>
    <row r="117" spans="1:6" x14ac:dyDescent="0.25">
      <c r="A117" s="582" t="s">
        <v>1081</v>
      </c>
      <c r="B117" s="77" t="s">
        <v>1082</v>
      </c>
      <c r="C117" s="581">
        <v>619217873627</v>
      </c>
      <c r="D117" s="26">
        <v>2.92</v>
      </c>
      <c r="E117" s="225" t="s">
        <v>419</v>
      </c>
      <c r="F117" s="371" t="s">
        <v>584</v>
      </c>
    </row>
    <row r="118" spans="1:6" x14ac:dyDescent="0.25">
      <c r="A118" s="582" t="s">
        <v>1138</v>
      </c>
      <c r="B118" s="77" t="s">
        <v>452</v>
      </c>
      <c r="C118" s="11">
        <v>19201800823</v>
      </c>
      <c r="D118" s="26">
        <v>2.76</v>
      </c>
      <c r="E118" s="225" t="s">
        <v>419</v>
      </c>
      <c r="F118" s="371" t="s">
        <v>578</v>
      </c>
    </row>
    <row r="119" spans="1:6" x14ac:dyDescent="0.25">
      <c r="A119" s="582" t="s">
        <v>1138</v>
      </c>
      <c r="B119" s="77" t="s">
        <v>452</v>
      </c>
      <c r="C119" s="11">
        <v>19201800819</v>
      </c>
      <c r="D119" s="26">
        <v>2.58</v>
      </c>
      <c r="E119" s="225" t="s">
        <v>419</v>
      </c>
      <c r="F119" s="371" t="s">
        <v>579</v>
      </c>
    </row>
    <row r="120" spans="1:6" x14ac:dyDescent="0.25">
      <c r="A120" s="582" t="s">
        <v>1138</v>
      </c>
      <c r="B120" s="77" t="s">
        <v>452</v>
      </c>
      <c r="C120" s="11">
        <v>19201800814</v>
      </c>
      <c r="D120" s="26">
        <v>2.5299999999999998</v>
      </c>
      <c r="E120" s="225" t="s">
        <v>419</v>
      </c>
      <c r="F120" s="371" t="s">
        <v>580</v>
      </c>
    </row>
    <row r="121" spans="1:6" x14ac:dyDescent="0.25">
      <c r="A121" s="582" t="s">
        <v>1138</v>
      </c>
      <c r="B121" s="77" t="s">
        <v>452</v>
      </c>
      <c r="C121" s="11">
        <v>19201800810</v>
      </c>
      <c r="D121" s="26">
        <v>2.42</v>
      </c>
      <c r="E121" s="225" t="s">
        <v>419</v>
      </c>
      <c r="F121" s="371" t="s">
        <v>581</v>
      </c>
    </row>
    <row r="122" spans="1:6" x14ac:dyDescent="0.25">
      <c r="A122" s="582" t="s">
        <v>1138</v>
      </c>
      <c r="B122" s="77" t="s">
        <v>452</v>
      </c>
      <c r="C122" s="11">
        <v>19201800817</v>
      </c>
      <c r="D122" s="26">
        <v>2.15</v>
      </c>
      <c r="E122" s="225" t="s">
        <v>419</v>
      </c>
      <c r="F122" s="371" t="s">
        <v>582</v>
      </c>
    </row>
    <row r="123" spans="1:6" x14ac:dyDescent="0.25">
      <c r="A123" s="582" t="s">
        <v>1138</v>
      </c>
      <c r="B123" s="77" t="s">
        <v>452</v>
      </c>
      <c r="C123" s="11">
        <v>19201800808</v>
      </c>
      <c r="D123" s="26">
        <v>2.12</v>
      </c>
      <c r="E123" s="225" t="s">
        <v>419</v>
      </c>
      <c r="F123" s="371" t="s">
        <v>583</v>
      </c>
    </row>
    <row r="124" spans="1:6" x14ac:dyDescent="0.25">
      <c r="A124" s="582" t="s">
        <v>1138</v>
      </c>
      <c r="B124" s="77" t="s">
        <v>452</v>
      </c>
      <c r="C124" s="11">
        <v>19201800811</v>
      </c>
      <c r="D124" s="26">
        <v>2.0099999999999998</v>
      </c>
      <c r="E124" s="225" t="s">
        <v>419</v>
      </c>
      <c r="F124" s="371" t="s">
        <v>584</v>
      </c>
    </row>
    <row r="125" spans="1:6" x14ac:dyDescent="0.25">
      <c r="A125" s="582" t="s">
        <v>1138</v>
      </c>
      <c r="B125" s="77" t="s">
        <v>452</v>
      </c>
      <c r="C125" s="11">
        <v>19201800821</v>
      </c>
      <c r="D125" s="26">
        <v>1.83</v>
      </c>
      <c r="E125" s="226" t="s">
        <v>420</v>
      </c>
      <c r="F125" s="371" t="s">
        <v>585</v>
      </c>
    </row>
    <row r="126" spans="1:6" x14ac:dyDescent="0.25">
      <c r="A126" s="582" t="s">
        <v>1138</v>
      </c>
      <c r="B126" s="77" t="s">
        <v>452</v>
      </c>
      <c r="C126" s="11">
        <v>19201800805</v>
      </c>
      <c r="D126" s="26">
        <v>1.82</v>
      </c>
      <c r="E126" s="226" t="s">
        <v>420</v>
      </c>
      <c r="F126" s="371" t="s">
        <v>586</v>
      </c>
    </row>
    <row r="127" spans="1:6" x14ac:dyDescent="0.25">
      <c r="A127" s="582" t="s">
        <v>1138</v>
      </c>
      <c r="B127" s="77" t="s">
        <v>452</v>
      </c>
      <c r="C127" s="11">
        <v>19201800818</v>
      </c>
      <c r="D127" s="26">
        <v>1.81</v>
      </c>
      <c r="E127" s="226" t="s">
        <v>420</v>
      </c>
      <c r="F127" s="371" t="s">
        <v>587</v>
      </c>
    </row>
    <row r="128" spans="1:6" x14ac:dyDescent="0.25">
      <c r="A128" s="582" t="s">
        <v>1138</v>
      </c>
      <c r="B128" s="77" t="s">
        <v>452</v>
      </c>
      <c r="C128" s="11">
        <v>19201800822</v>
      </c>
      <c r="D128" s="26">
        <v>1.74</v>
      </c>
      <c r="E128" s="226" t="s">
        <v>420</v>
      </c>
      <c r="F128" s="371" t="s">
        <v>588</v>
      </c>
    </row>
    <row r="129" spans="1:6" x14ac:dyDescent="0.25">
      <c r="A129" s="582" t="s">
        <v>1138</v>
      </c>
      <c r="B129" s="77" t="s">
        <v>452</v>
      </c>
      <c r="C129" s="11">
        <v>19201800807</v>
      </c>
      <c r="D129" s="26">
        <v>1.71</v>
      </c>
      <c r="E129" s="226" t="s">
        <v>420</v>
      </c>
      <c r="F129" s="371" t="s">
        <v>589</v>
      </c>
    </row>
    <row r="130" spans="1:6" x14ac:dyDescent="0.25">
      <c r="A130" s="582" t="s">
        <v>1138</v>
      </c>
      <c r="B130" s="77" t="s">
        <v>452</v>
      </c>
      <c r="C130" s="11">
        <v>19201800820</v>
      </c>
      <c r="D130" s="26">
        <v>1.66</v>
      </c>
      <c r="E130" s="226" t="s">
        <v>420</v>
      </c>
      <c r="F130" s="371" t="s">
        <v>590</v>
      </c>
    </row>
    <row r="131" spans="1:6" x14ac:dyDescent="0.25">
      <c r="A131" s="582" t="s">
        <v>1138</v>
      </c>
      <c r="B131" s="77" t="s">
        <v>1139</v>
      </c>
      <c r="C131" s="11">
        <v>19201800816</v>
      </c>
      <c r="D131" s="2">
        <v>2.33</v>
      </c>
      <c r="E131" s="225" t="s">
        <v>419</v>
      </c>
      <c r="F131" s="5" t="s">
        <v>578</v>
      </c>
    </row>
    <row r="132" spans="1:6" x14ac:dyDescent="0.25">
      <c r="A132" s="582" t="s">
        <v>1138</v>
      </c>
      <c r="B132" s="77" t="s">
        <v>1139</v>
      </c>
      <c r="C132" s="11">
        <v>19201800774</v>
      </c>
      <c r="D132" s="2">
        <v>2</v>
      </c>
      <c r="E132" s="225" t="s">
        <v>419</v>
      </c>
      <c r="F132" s="5" t="s">
        <v>579</v>
      </c>
    </row>
    <row r="133" spans="1:6" x14ac:dyDescent="0.25">
      <c r="A133" s="582" t="s">
        <v>1138</v>
      </c>
      <c r="B133" s="77" t="s">
        <v>1139</v>
      </c>
      <c r="C133" s="11">
        <v>19201800815</v>
      </c>
      <c r="D133" s="2">
        <v>1.97</v>
      </c>
      <c r="E133" s="226" t="s">
        <v>420</v>
      </c>
      <c r="F133" s="5" t="s">
        <v>580</v>
      </c>
    </row>
    <row r="134" spans="1:6" x14ac:dyDescent="0.25">
      <c r="A134" s="582" t="s">
        <v>1138</v>
      </c>
      <c r="B134" s="77" t="s">
        <v>1139</v>
      </c>
      <c r="C134" s="11">
        <v>19201800813</v>
      </c>
      <c r="D134" s="2">
        <v>1.64</v>
      </c>
      <c r="E134" s="226" t="s">
        <v>420</v>
      </c>
      <c r="F134" s="5" t="s">
        <v>581</v>
      </c>
    </row>
    <row r="135" spans="1:6" x14ac:dyDescent="0.25">
      <c r="A135" s="5" t="s">
        <v>1152</v>
      </c>
      <c r="B135" s="2" t="s">
        <v>454</v>
      </c>
      <c r="C135" s="638">
        <v>19201800960</v>
      </c>
      <c r="D135" s="2">
        <v>2.96</v>
      </c>
      <c r="E135" s="225" t="s">
        <v>419</v>
      </c>
      <c r="F135" s="5" t="s">
        <v>578</v>
      </c>
    </row>
    <row r="136" spans="1:6" x14ac:dyDescent="0.25">
      <c r="A136" s="5" t="s">
        <v>1152</v>
      </c>
      <c r="B136" s="2" t="s">
        <v>454</v>
      </c>
      <c r="C136" s="638">
        <v>19201800961</v>
      </c>
      <c r="D136" s="2">
        <v>2.76</v>
      </c>
      <c r="E136" s="225" t="s">
        <v>419</v>
      </c>
      <c r="F136" s="5" t="s">
        <v>579</v>
      </c>
    </row>
    <row r="137" spans="1:6" x14ac:dyDescent="0.25">
      <c r="A137" s="5" t="s">
        <v>1152</v>
      </c>
      <c r="B137" s="2" t="s">
        <v>454</v>
      </c>
      <c r="C137" s="638">
        <v>19201800962</v>
      </c>
      <c r="D137" s="2">
        <v>2.7</v>
      </c>
      <c r="E137" s="225" t="s">
        <v>419</v>
      </c>
      <c r="F137" s="5" t="s">
        <v>580</v>
      </c>
    </row>
    <row r="138" spans="1:6" x14ac:dyDescent="0.25">
      <c r="A138" s="5" t="s">
        <v>1152</v>
      </c>
      <c r="B138" s="2" t="s">
        <v>454</v>
      </c>
      <c r="C138" s="638">
        <v>19201800949</v>
      </c>
      <c r="D138" s="2">
        <v>2.5099999999999998</v>
      </c>
      <c r="E138" s="225" t="s">
        <v>419</v>
      </c>
      <c r="F138" s="5" t="s">
        <v>581</v>
      </c>
    </row>
    <row r="139" spans="1:6" x14ac:dyDescent="0.25">
      <c r="A139" s="5" t="s">
        <v>1152</v>
      </c>
      <c r="B139" s="2" t="s">
        <v>454</v>
      </c>
      <c r="C139" s="638">
        <v>19201800963</v>
      </c>
      <c r="D139" s="2">
        <v>2.3199999999999998</v>
      </c>
      <c r="E139" s="225" t="s">
        <v>419</v>
      </c>
      <c r="F139" s="5" t="s">
        <v>582</v>
      </c>
    </row>
    <row r="140" spans="1:6" x14ac:dyDescent="0.25">
      <c r="A140" s="5" t="s">
        <v>1152</v>
      </c>
      <c r="B140" s="2" t="s">
        <v>454</v>
      </c>
      <c r="C140" s="638">
        <v>19201800955</v>
      </c>
      <c r="D140" s="26">
        <v>1.88</v>
      </c>
      <c r="E140" s="226" t="s">
        <v>420</v>
      </c>
      <c r="F140" s="5" t="s">
        <v>583</v>
      </c>
    </row>
    <row r="141" spans="1:6" x14ac:dyDescent="0.25">
      <c r="A141" s="5" t="s">
        <v>1152</v>
      </c>
      <c r="B141" s="77" t="s">
        <v>1082</v>
      </c>
      <c r="C141" s="640">
        <v>19201800950</v>
      </c>
      <c r="D141" s="641">
        <v>3</v>
      </c>
      <c r="E141" s="644" t="s">
        <v>419</v>
      </c>
      <c r="F141" s="5" t="s">
        <v>578</v>
      </c>
    </row>
    <row r="142" spans="1:6" x14ac:dyDescent="0.25">
      <c r="A142" s="5" t="s">
        <v>1152</v>
      </c>
      <c r="B142" s="77" t="s">
        <v>1082</v>
      </c>
      <c r="C142" s="640">
        <v>19201800956</v>
      </c>
      <c r="D142" s="641">
        <v>3</v>
      </c>
      <c r="E142" s="644" t="s">
        <v>419</v>
      </c>
      <c r="F142" s="5" t="s">
        <v>579</v>
      </c>
    </row>
    <row r="143" spans="1:6" x14ac:dyDescent="0.25">
      <c r="A143" s="5" t="s">
        <v>1152</v>
      </c>
      <c r="B143" s="77" t="s">
        <v>1082</v>
      </c>
      <c r="C143" s="640">
        <v>19201800965</v>
      </c>
      <c r="D143" s="641">
        <v>3</v>
      </c>
      <c r="E143" s="644" t="s">
        <v>419</v>
      </c>
      <c r="F143" s="5" t="s">
        <v>580</v>
      </c>
    </row>
    <row r="144" spans="1:6" x14ac:dyDescent="0.25">
      <c r="A144" s="5" t="s">
        <v>1152</v>
      </c>
      <c r="B144" s="77" t="s">
        <v>1082</v>
      </c>
      <c r="C144" s="640">
        <v>19201800951</v>
      </c>
      <c r="D144" s="641">
        <v>2.96</v>
      </c>
      <c r="E144" s="644" t="s">
        <v>419</v>
      </c>
      <c r="F144" s="5" t="s">
        <v>581</v>
      </c>
    </row>
    <row r="145" spans="1:6" x14ac:dyDescent="0.25">
      <c r="A145" s="5" t="s">
        <v>1152</v>
      </c>
      <c r="B145" s="77" t="s">
        <v>1082</v>
      </c>
      <c r="C145" s="640">
        <v>19201800902</v>
      </c>
      <c r="D145" s="641">
        <v>2.87</v>
      </c>
      <c r="E145" s="644" t="s">
        <v>419</v>
      </c>
      <c r="F145" s="5" t="s">
        <v>582</v>
      </c>
    </row>
    <row r="146" spans="1:6" x14ac:dyDescent="0.25">
      <c r="A146" s="5" t="s">
        <v>1152</v>
      </c>
      <c r="B146" s="77" t="s">
        <v>1082</v>
      </c>
      <c r="C146" s="640">
        <v>19201800952</v>
      </c>
      <c r="D146" s="641">
        <v>2.78</v>
      </c>
      <c r="E146" s="644" t="s">
        <v>419</v>
      </c>
      <c r="F146" s="5" t="s">
        <v>583</v>
      </c>
    </row>
    <row r="147" spans="1:6" x14ac:dyDescent="0.25">
      <c r="A147" s="5" t="s">
        <v>1152</v>
      </c>
      <c r="B147" s="77" t="s">
        <v>1082</v>
      </c>
      <c r="C147" s="640">
        <v>19201800964</v>
      </c>
      <c r="D147" s="641">
        <v>2.68</v>
      </c>
      <c r="E147" s="644" t="s">
        <v>419</v>
      </c>
      <c r="F147" s="5" t="s">
        <v>584</v>
      </c>
    </row>
    <row r="148" spans="1:6" x14ac:dyDescent="0.25">
      <c r="A148" s="5" t="s">
        <v>1152</v>
      </c>
      <c r="B148" s="77" t="s">
        <v>1082</v>
      </c>
      <c r="C148" s="640">
        <v>19201800958</v>
      </c>
      <c r="D148" s="642">
        <v>2.64</v>
      </c>
      <c r="E148" s="644" t="s">
        <v>419</v>
      </c>
      <c r="F148" s="5" t="s">
        <v>585</v>
      </c>
    </row>
    <row r="149" spans="1:6" x14ac:dyDescent="0.25">
      <c r="A149" s="5" t="s">
        <v>1152</v>
      </c>
      <c r="B149" s="77" t="s">
        <v>1082</v>
      </c>
      <c r="C149" s="640">
        <v>19201800957</v>
      </c>
      <c r="D149" s="641">
        <v>2.25</v>
      </c>
      <c r="E149" s="644" t="s">
        <v>419</v>
      </c>
      <c r="F149" s="5" t="s">
        <v>586</v>
      </c>
    </row>
    <row r="150" spans="1:6" x14ac:dyDescent="0.25">
      <c r="A150" s="5" t="s">
        <v>1152</v>
      </c>
      <c r="B150" s="77" t="s">
        <v>1082</v>
      </c>
      <c r="C150" s="640">
        <v>19201800959</v>
      </c>
      <c r="D150" s="641">
        <v>2.17</v>
      </c>
      <c r="E150" s="644" t="s">
        <v>419</v>
      </c>
      <c r="F150" s="5" t="s">
        <v>587</v>
      </c>
    </row>
    <row r="151" spans="1:6" x14ac:dyDescent="0.25">
      <c r="A151" s="5" t="s">
        <v>1152</v>
      </c>
      <c r="B151" s="77" t="s">
        <v>1082</v>
      </c>
      <c r="C151" s="640">
        <v>19201800954</v>
      </c>
      <c r="D151" s="641">
        <v>1.84</v>
      </c>
      <c r="E151" s="643" t="s">
        <v>420</v>
      </c>
      <c r="F151" s="5" t="s">
        <v>588</v>
      </c>
    </row>
    <row r="152" spans="1:6" x14ac:dyDescent="0.25">
      <c r="A152" s="371" t="s">
        <v>1194</v>
      </c>
      <c r="B152" s="653" t="s">
        <v>452</v>
      </c>
      <c r="C152" s="696">
        <v>19201900623</v>
      </c>
      <c r="D152" s="695">
        <v>3</v>
      </c>
      <c r="E152" s="257" t="s">
        <v>419</v>
      </c>
      <c r="F152" s="313" t="s">
        <v>578</v>
      </c>
    </row>
    <row r="153" spans="1:6" x14ac:dyDescent="0.25">
      <c r="A153" s="371" t="s">
        <v>1194</v>
      </c>
      <c r="B153" s="653" t="s">
        <v>452</v>
      </c>
      <c r="C153" s="696">
        <v>19201900645</v>
      </c>
      <c r="D153" s="695">
        <v>2.91</v>
      </c>
      <c r="E153" s="257" t="s">
        <v>419</v>
      </c>
      <c r="F153" s="313" t="s">
        <v>579</v>
      </c>
    </row>
    <row r="154" spans="1:6" x14ac:dyDescent="0.25">
      <c r="A154" s="371" t="s">
        <v>1194</v>
      </c>
      <c r="B154" s="653" t="s">
        <v>452</v>
      </c>
      <c r="C154" s="696">
        <v>19201900632</v>
      </c>
      <c r="D154" s="695">
        <v>2.86</v>
      </c>
      <c r="E154" s="257" t="s">
        <v>419</v>
      </c>
      <c r="F154" s="313" t="s">
        <v>580</v>
      </c>
    </row>
    <row r="155" spans="1:6" x14ac:dyDescent="0.25">
      <c r="A155" s="371" t="s">
        <v>1194</v>
      </c>
      <c r="B155" s="653" t="s">
        <v>452</v>
      </c>
      <c r="C155" s="696">
        <v>19201900641</v>
      </c>
      <c r="D155" s="695">
        <v>2.69</v>
      </c>
      <c r="E155" s="257" t="s">
        <v>419</v>
      </c>
      <c r="F155" s="313" t="s">
        <v>581</v>
      </c>
    </row>
    <row r="156" spans="1:6" x14ac:dyDescent="0.25">
      <c r="A156" s="371" t="s">
        <v>1194</v>
      </c>
      <c r="B156" s="653" t="s">
        <v>452</v>
      </c>
      <c r="C156" s="696">
        <v>19201900622</v>
      </c>
      <c r="D156" s="695">
        <v>2.66</v>
      </c>
      <c r="E156" s="257" t="s">
        <v>419</v>
      </c>
      <c r="F156" s="313" t="s">
        <v>582</v>
      </c>
    </row>
    <row r="157" spans="1:6" x14ac:dyDescent="0.25">
      <c r="A157" s="371" t="s">
        <v>1194</v>
      </c>
      <c r="B157" s="653" t="s">
        <v>452</v>
      </c>
      <c r="C157" s="696">
        <v>19201900631</v>
      </c>
      <c r="D157" s="695">
        <v>2.64</v>
      </c>
      <c r="E157" s="257" t="s">
        <v>419</v>
      </c>
      <c r="F157" s="313" t="s">
        <v>583</v>
      </c>
    </row>
    <row r="158" spans="1:6" x14ac:dyDescent="0.25">
      <c r="A158" s="371" t="s">
        <v>1194</v>
      </c>
      <c r="B158" s="653" t="s">
        <v>452</v>
      </c>
      <c r="C158" s="696">
        <v>19201900621</v>
      </c>
      <c r="D158" s="695">
        <v>2.62</v>
      </c>
      <c r="E158" s="257" t="s">
        <v>419</v>
      </c>
      <c r="F158" s="313" t="s">
        <v>584</v>
      </c>
    </row>
    <row r="159" spans="1:6" x14ac:dyDescent="0.25">
      <c r="A159" s="371" t="s">
        <v>1194</v>
      </c>
      <c r="B159" s="653" t="s">
        <v>452</v>
      </c>
      <c r="C159" s="696">
        <v>19201900634</v>
      </c>
      <c r="D159" s="695">
        <v>2.6</v>
      </c>
      <c r="E159" s="257" t="s">
        <v>419</v>
      </c>
      <c r="F159" s="313" t="s">
        <v>585</v>
      </c>
    </row>
    <row r="160" spans="1:6" x14ac:dyDescent="0.25">
      <c r="A160" s="371" t="s">
        <v>1194</v>
      </c>
      <c r="B160" s="653" t="s">
        <v>452</v>
      </c>
      <c r="C160" s="696">
        <v>19201900619</v>
      </c>
      <c r="D160" s="695">
        <v>2.54</v>
      </c>
      <c r="E160" s="257" t="s">
        <v>419</v>
      </c>
      <c r="F160" s="313" t="s">
        <v>586</v>
      </c>
    </row>
    <row r="161" spans="1:6" x14ac:dyDescent="0.25">
      <c r="A161" s="371" t="s">
        <v>1194</v>
      </c>
      <c r="B161" s="653" t="s">
        <v>452</v>
      </c>
      <c r="C161" s="696">
        <v>19201900633</v>
      </c>
      <c r="D161" s="695">
        <v>2.5299999999999998</v>
      </c>
      <c r="E161" s="683" t="s">
        <v>420</v>
      </c>
      <c r="F161" s="313" t="s">
        <v>587</v>
      </c>
    </row>
    <row r="162" spans="1:6" x14ac:dyDescent="0.25">
      <c r="A162" s="371" t="s">
        <v>1194</v>
      </c>
      <c r="B162" s="653" t="s">
        <v>452</v>
      </c>
      <c r="C162" s="696">
        <v>19201900637</v>
      </c>
      <c r="D162" s="695">
        <v>2.52</v>
      </c>
      <c r="E162" s="683" t="s">
        <v>420</v>
      </c>
      <c r="F162" s="313" t="s">
        <v>588</v>
      </c>
    </row>
    <row r="163" spans="1:6" x14ac:dyDescent="0.25">
      <c r="A163" s="371" t="s">
        <v>1194</v>
      </c>
      <c r="B163" s="653" t="s">
        <v>452</v>
      </c>
      <c r="C163" s="696">
        <v>19201900646</v>
      </c>
      <c r="D163" s="695">
        <v>2.41</v>
      </c>
      <c r="E163" s="683" t="s">
        <v>420</v>
      </c>
      <c r="F163" s="313" t="s">
        <v>589</v>
      </c>
    </row>
    <row r="164" spans="1:6" x14ac:dyDescent="0.25">
      <c r="A164" s="365" t="s">
        <v>1194</v>
      </c>
      <c r="B164" s="653" t="s">
        <v>452</v>
      </c>
      <c r="C164" s="696">
        <v>19201900626</v>
      </c>
      <c r="D164" s="695">
        <v>2.27</v>
      </c>
      <c r="E164" s="683" t="s">
        <v>420</v>
      </c>
      <c r="F164" s="313" t="s">
        <v>590</v>
      </c>
    </row>
    <row r="165" spans="1:6" x14ac:dyDescent="0.25">
      <c r="A165" s="365" t="s">
        <v>1194</v>
      </c>
      <c r="B165" s="653" t="s">
        <v>452</v>
      </c>
      <c r="C165" s="696">
        <v>19201900627</v>
      </c>
      <c r="D165" s="695">
        <v>2.1</v>
      </c>
      <c r="E165" s="683" t="s">
        <v>420</v>
      </c>
      <c r="F165" s="313" t="s">
        <v>591</v>
      </c>
    </row>
    <row r="166" spans="1:6" x14ac:dyDescent="0.25">
      <c r="A166" s="365" t="s">
        <v>1194</v>
      </c>
      <c r="B166" s="653" t="s">
        <v>452</v>
      </c>
      <c r="C166" s="696">
        <v>19201900625</v>
      </c>
      <c r="D166" s="695">
        <v>2.08</v>
      </c>
      <c r="E166" s="683" t="s">
        <v>420</v>
      </c>
      <c r="F166" s="313" t="s">
        <v>592</v>
      </c>
    </row>
    <row r="167" spans="1:6" x14ac:dyDescent="0.25">
      <c r="A167" s="371" t="s">
        <v>1194</v>
      </c>
      <c r="B167" s="653" t="s">
        <v>452</v>
      </c>
      <c r="C167" s="696">
        <v>19201900636</v>
      </c>
      <c r="D167" s="695">
        <v>2.04</v>
      </c>
      <c r="E167" s="683" t="s">
        <v>420</v>
      </c>
      <c r="F167" s="313" t="s">
        <v>593</v>
      </c>
    </row>
    <row r="168" spans="1:6" x14ac:dyDescent="0.25">
      <c r="A168" s="371" t="s">
        <v>1194</v>
      </c>
      <c r="B168" s="653" t="s">
        <v>452</v>
      </c>
      <c r="C168" s="696">
        <v>19201900643</v>
      </c>
      <c r="D168" s="695">
        <v>2.02</v>
      </c>
      <c r="E168" s="683" t="s">
        <v>420</v>
      </c>
      <c r="F168" s="313" t="s">
        <v>594</v>
      </c>
    </row>
    <row r="169" spans="1:6" x14ac:dyDescent="0.25">
      <c r="A169" s="371" t="s">
        <v>1194</v>
      </c>
      <c r="B169" s="77" t="s">
        <v>1139</v>
      </c>
      <c r="C169" s="696">
        <v>19201900642</v>
      </c>
      <c r="D169" s="619">
        <v>2.67</v>
      </c>
      <c r="E169" s="257" t="s">
        <v>419</v>
      </c>
      <c r="F169" s="313" t="s">
        <v>578</v>
      </c>
    </row>
    <row r="170" spans="1:6" x14ac:dyDescent="0.25">
      <c r="A170" s="371" t="s">
        <v>1194</v>
      </c>
      <c r="B170" s="77" t="s">
        <v>1139</v>
      </c>
      <c r="C170" s="696">
        <v>19201900630</v>
      </c>
      <c r="D170" s="619">
        <v>2.65</v>
      </c>
      <c r="E170" s="257" t="s">
        <v>419</v>
      </c>
      <c r="F170" s="313" t="s">
        <v>579</v>
      </c>
    </row>
    <row r="171" spans="1:6" x14ac:dyDescent="0.25">
      <c r="A171" s="371" t="s">
        <v>1194</v>
      </c>
      <c r="B171" s="77" t="s">
        <v>1139</v>
      </c>
      <c r="C171" s="696">
        <v>19201900639</v>
      </c>
      <c r="D171" s="619">
        <v>2.59</v>
      </c>
      <c r="E171" s="257" t="s">
        <v>419</v>
      </c>
      <c r="F171" s="313" t="s">
        <v>580</v>
      </c>
    </row>
    <row r="172" spans="1:6" x14ac:dyDescent="0.25">
      <c r="A172" s="371" t="s">
        <v>1194</v>
      </c>
      <c r="B172" s="77" t="s">
        <v>1139</v>
      </c>
      <c r="C172" s="696">
        <v>19201900644</v>
      </c>
      <c r="D172" s="619">
        <v>2.44</v>
      </c>
      <c r="E172" s="683" t="s">
        <v>420</v>
      </c>
      <c r="F172" s="313" t="s">
        <v>581</v>
      </c>
    </row>
    <row r="173" spans="1:6" x14ac:dyDescent="0.25">
      <c r="A173" s="371" t="s">
        <v>1194</v>
      </c>
      <c r="B173" s="77" t="s">
        <v>1139</v>
      </c>
      <c r="C173" s="696">
        <v>19201900629</v>
      </c>
      <c r="D173" s="619">
        <v>2.4</v>
      </c>
      <c r="E173" s="683" t="s">
        <v>420</v>
      </c>
      <c r="F173" s="313" t="s">
        <v>582</v>
      </c>
    </row>
    <row r="174" spans="1:6" x14ac:dyDescent="0.25">
      <c r="A174" s="371" t="s">
        <v>1194</v>
      </c>
      <c r="B174" s="77" t="s">
        <v>1139</v>
      </c>
      <c r="C174" s="696">
        <v>19201900628</v>
      </c>
      <c r="D174" s="619">
        <v>2.02</v>
      </c>
      <c r="E174" s="683" t="s">
        <v>420</v>
      </c>
      <c r="F174" s="313" t="s">
        <v>583</v>
      </c>
    </row>
    <row r="175" spans="1:6" x14ac:dyDescent="0.25">
      <c r="A175" s="371" t="s">
        <v>1194</v>
      </c>
      <c r="B175" s="77" t="s">
        <v>1139</v>
      </c>
      <c r="C175" s="696">
        <v>19201900624</v>
      </c>
      <c r="D175" s="619">
        <v>2</v>
      </c>
      <c r="E175" s="683" t="s">
        <v>420</v>
      </c>
      <c r="F175" s="313" t="s">
        <v>584</v>
      </c>
    </row>
    <row r="176" spans="1:6" x14ac:dyDescent="0.25">
      <c r="A176" s="708" t="s">
        <v>1206</v>
      </c>
      <c r="B176" s="709" t="s">
        <v>454</v>
      </c>
      <c r="C176" s="710">
        <v>19201900732</v>
      </c>
      <c r="D176" s="695">
        <v>2.76</v>
      </c>
      <c r="E176" s="711" t="s">
        <v>419</v>
      </c>
      <c r="F176" s="712" t="s">
        <v>578</v>
      </c>
    </row>
    <row r="177" spans="1:6" x14ac:dyDescent="0.25">
      <c r="A177" s="708" t="s">
        <v>1206</v>
      </c>
      <c r="B177" s="709" t="s">
        <v>454</v>
      </c>
      <c r="C177" s="696">
        <v>19201900748</v>
      </c>
      <c r="D177" s="695">
        <v>2.58</v>
      </c>
      <c r="E177" s="711" t="s">
        <v>419</v>
      </c>
      <c r="F177" s="712" t="s">
        <v>579</v>
      </c>
    </row>
    <row r="178" spans="1:6" x14ac:dyDescent="0.25">
      <c r="A178" s="708" t="s">
        <v>1206</v>
      </c>
      <c r="B178" s="709" t="s">
        <v>454</v>
      </c>
      <c r="C178" s="696">
        <v>19201900752</v>
      </c>
      <c r="D178" s="695">
        <v>2.46</v>
      </c>
      <c r="E178" s="711" t="s">
        <v>419</v>
      </c>
      <c r="F178" s="712" t="s">
        <v>580</v>
      </c>
    </row>
    <row r="179" spans="1:6" x14ac:dyDescent="0.25">
      <c r="A179" s="708" t="s">
        <v>1206</v>
      </c>
      <c r="B179" s="709" t="s">
        <v>454</v>
      </c>
      <c r="C179" s="696">
        <v>19201900753</v>
      </c>
      <c r="D179" s="695">
        <v>2.42</v>
      </c>
      <c r="E179" s="711" t="s">
        <v>419</v>
      </c>
      <c r="F179" s="712" t="s">
        <v>581</v>
      </c>
    </row>
    <row r="180" spans="1:6" x14ac:dyDescent="0.25">
      <c r="A180" s="708" t="s">
        <v>1206</v>
      </c>
      <c r="B180" s="709" t="s">
        <v>454</v>
      </c>
      <c r="C180" s="696">
        <v>19201900729</v>
      </c>
      <c r="D180" s="695">
        <v>2.38</v>
      </c>
      <c r="E180" s="711" t="s">
        <v>419</v>
      </c>
      <c r="F180" s="712" t="s">
        <v>582</v>
      </c>
    </row>
    <row r="181" spans="1:6" ht="15.75" x14ac:dyDescent="0.25">
      <c r="A181" s="708" t="s">
        <v>1206</v>
      </c>
      <c r="B181" s="77" t="s">
        <v>1082</v>
      </c>
      <c r="C181" s="714">
        <v>19201900739</v>
      </c>
      <c r="D181" s="713">
        <v>3</v>
      </c>
      <c r="E181" s="711" t="s">
        <v>419</v>
      </c>
      <c r="F181" s="712" t="s">
        <v>578</v>
      </c>
    </row>
    <row r="182" spans="1:6" ht="15.75" x14ac:dyDescent="0.25">
      <c r="A182" s="708" t="s">
        <v>1206</v>
      </c>
      <c r="B182" s="77" t="s">
        <v>1082</v>
      </c>
      <c r="C182" s="714">
        <v>19201900750</v>
      </c>
      <c r="D182" s="713">
        <v>2.98</v>
      </c>
      <c r="E182" s="711" t="s">
        <v>419</v>
      </c>
      <c r="F182" s="712" t="s">
        <v>579</v>
      </c>
    </row>
    <row r="183" spans="1:6" ht="15.75" x14ac:dyDescent="0.25">
      <c r="A183" s="708" t="s">
        <v>1206</v>
      </c>
      <c r="B183" s="77" t="s">
        <v>1082</v>
      </c>
      <c r="C183" s="714">
        <v>19201900736</v>
      </c>
      <c r="D183" s="713">
        <v>2.97</v>
      </c>
      <c r="E183" s="711" t="s">
        <v>419</v>
      </c>
      <c r="F183" s="712" t="s">
        <v>580</v>
      </c>
    </row>
    <row r="184" spans="1:6" ht="15.75" x14ac:dyDescent="0.25">
      <c r="A184" s="708" t="s">
        <v>1206</v>
      </c>
      <c r="B184" s="77" t="s">
        <v>1082</v>
      </c>
      <c r="C184" s="714">
        <v>19201900744</v>
      </c>
      <c r="D184" s="713">
        <v>2.8</v>
      </c>
      <c r="E184" s="711" t="s">
        <v>419</v>
      </c>
      <c r="F184" s="712" t="s">
        <v>581</v>
      </c>
    </row>
    <row r="185" spans="1:6" ht="15.75" x14ac:dyDescent="0.25">
      <c r="A185" s="708" t="s">
        <v>1206</v>
      </c>
      <c r="B185" s="77" t="s">
        <v>1082</v>
      </c>
      <c r="C185" s="714">
        <v>19201900807</v>
      </c>
      <c r="D185" s="713">
        <v>2.66</v>
      </c>
      <c r="E185" s="711" t="s">
        <v>419</v>
      </c>
      <c r="F185" s="712" t="s">
        <v>582</v>
      </c>
    </row>
    <row r="186" spans="1:6" ht="15.75" x14ac:dyDescent="0.25">
      <c r="A186" s="708" t="s">
        <v>1206</v>
      </c>
      <c r="B186" s="77" t="s">
        <v>1082</v>
      </c>
      <c r="C186" s="714">
        <v>19201900745</v>
      </c>
      <c r="D186" s="713">
        <v>2.3199999999999998</v>
      </c>
      <c r="E186" s="683" t="s">
        <v>420</v>
      </c>
      <c r="F186" s="712" t="s">
        <v>583</v>
      </c>
    </row>
    <row r="187" spans="1:6" ht="15.75" x14ac:dyDescent="0.25">
      <c r="A187" s="708" t="s">
        <v>1206</v>
      </c>
      <c r="B187" s="77" t="s">
        <v>1082</v>
      </c>
      <c r="C187" s="714">
        <v>19201900742</v>
      </c>
      <c r="D187" s="713">
        <v>2.1</v>
      </c>
      <c r="E187" s="683" t="s">
        <v>420</v>
      </c>
      <c r="F187" s="712" t="s">
        <v>584</v>
      </c>
    </row>
    <row r="188" spans="1:6" ht="15.75" x14ac:dyDescent="0.25">
      <c r="A188" s="708" t="s">
        <v>1206</v>
      </c>
      <c r="B188" s="77" t="s">
        <v>1082</v>
      </c>
      <c r="C188" s="714">
        <v>19201900749</v>
      </c>
      <c r="D188" s="713">
        <v>2.0099999999999998</v>
      </c>
      <c r="E188" s="683" t="s">
        <v>420</v>
      </c>
      <c r="F188" s="712" t="s">
        <v>585</v>
      </c>
    </row>
    <row r="189" spans="1:6" ht="15.75" x14ac:dyDescent="0.25">
      <c r="A189" s="733" t="s">
        <v>1206</v>
      </c>
      <c r="B189" s="488" t="s">
        <v>1082</v>
      </c>
      <c r="C189" s="734">
        <v>19201900747</v>
      </c>
      <c r="D189" s="735">
        <v>1.35</v>
      </c>
      <c r="E189" s="736" t="s">
        <v>420</v>
      </c>
      <c r="F189" s="737" t="s">
        <v>586</v>
      </c>
    </row>
    <row r="190" spans="1:6" ht="15.75" x14ac:dyDescent="0.25">
      <c r="A190" s="738" t="s">
        <v>1239</v>
      </c>
      <c r="B190" s="739" t="s">
        <v>452</v>
      </c>
      <c r="C190" s="740">
        <v>19202000354</v>
      </c>
      <c r="D190" s="741">
        <v>3</v>
      </c>
      <c r="E190" s="701" t="s">
        <v>419</v>
      </c>
      <c r="F190" s="712" t="s">
        <v>578</v>
      </c>
    </row>
    <row r="191" spans="1:6" ht="15.75" x14ac:dyDescent="0.25">
      <c r="A191" s="738" t="s">
        <v>1239</v>
      </c>
      <c r="B191" s="739" t="s">
        <v>452</v>
      </c>
      <c r="C191" s="740">
        <v>19202000363</v>
      </c>
      <c r="D191" s="741">
        <v>2.78</v>
      </c>
      <c r="E191" s="701" t="s">
        <v>419</v>
      </c>
      <c r="F191" s="712" t="s">
        <v>579</v>
      </c>
    </row>
    <row r="192" spans="1:6" ht="15.75" x14ac:dyDescent="0.25">
      <c r="A192" s="738" t="s">
        <v>1239</v>
      </c>
      <c r="B192" s="739" t="s">
        <v>452</v>
      </c>
      <c r="C192" s="740">
        <v>19202000368</v>
      </c>
      <c r="D192" s="741">
        <v>2.73</v>
      </c>
      <c r="E192" s="701" t="s">
        <v>419</v>
      </c>
      <c r="F192" s="712" t="s">
        <v>580</v>
      </c>
    </row>
    <row r="193" spans="1:6" ht="15.75" x14ac:dyDescent="0.25">
      <c r="A193" s="738" t="s">
        <v>1239</v>
      </c>
      <c r="B193" s="739" t="s">
        <v>452</v>
      </c>
      <c r="C193" s="740">
        <v>19202000369</v>
      </c>
      <c r="D193" s="741">
        <v>2.67</v>
      </c>
      <c r="E193" s="701" t="s">
        <v>419</v>
      </c>
      <c r="F193" s="712" t="s">
        <v>581</v>
      </c>
    </row>
    <row r="194" spans="1:6" ht="15.75" x14ac:dyDescent="0.25">
      <c r="A194" s="738" t="s">
        <v>1239</v>
      </c>
      <c r="B194" s="739" t="s">
        <v>452</v>
      </c>
      <c r="C194" s="740">
        <v>19202000370</v>
      </c>
      <c r="D194" s="741">
        <v>2.64</v>
      </c>
      <c r="E194" s="701" t="s">
        <v>419</v>
      </c>
      <c r="F194" s="712" t="s">
        <v>582</v>
      </c>
    </row>
    <row r="195" spans="1:6" ht="15.75" x14ac:dyDescent="0.25">
      <c r="A195" s="738" t="s">
        <v>1239</v>
      </c>
      <c r="B195" s="739" t="s">
        <v>452</v>
      </c>
      <c r="C195" s="740">
        <v>19202000352</v>
      </c>
      <c r="D195" s="741">
        <v>2.62</v>
      </c>
      <c r="E195" s="701" t="s">
        <v>419</v>
      </c>
      <c r="F195" s="712" t="s">
        <v>583</v>
      </c>
    </row>
    <row r="196" spans="1:6" ht="15.75" x14ac:dyDescent="0.25">
      <c r="A196" s="738" t="s">
        <v>1239</v>
      </c>
      <c r="B196" s="739" t="s">
        <v>452</v>
      </c>
      <c r="C196" s="740">
        <v>19202000353</v>
      </c>
      <c r="D196" s="741">
        <v>2.61</v>
      </c>
      <c r="E196" s="701" t="s">
        <v>419</v>
      </c>
      <c r="F196" s="712" t="s">
        <v>584</v>
      </c>
    </row>
    <row r="197" spans="1:6" ht="15.75" x14ac:dyDescent="0.25">
      <c r="A197" s="738" t="s">
        <v>1239</v>
      </c>
      <c r="B197" s="739" t="s">
        <v>452</v>
      </c>
      <c r="C197" s="740">
        <v>19202000358</v>
      </c>
      <c r="D197" s="741">
        <v>2.6</v>
      </c>
      <c r="E197" s="701" t="s">
        <v>419</v>
      </c>
      <c r="F197" s="712" t="s">
        <v>585</v>
      </c>
    </row>
    <row r="198" spans="1:6" ht="15.75" x14ac:dyDescent="0.25">
      <c r="A198" s="738" t="s">
        <v>1239</v>
      </c>
      <c r="B198" s="739" t="s">
        <v>452</v>
      </c>
      <c r="C198" s="740">
        <v>19202000376</v>
      </c>
      <c r="D198" s="741">
        <v>2.56</v>
      </c>
      <c r="E198" s="683" t="s">
        <v>420</v>
      </c>
      <c r="F198" s="712" t="s">
        <v>586</v>
      </c>
    </row>
    <row r="199" spans="1:6" ht="15.75" x14ac:dyDescent="0.25">
      <c r="A199" s="738" t="s">
        <v>1239</v>
      </c>
      <c r="B199" s="739" t="s">
        <v>452</v>
      </c>
      <c r="C199" s="740">
        <v>19202000373</v>
      </c>
      <c r="D199" s="741">
        <v>2.5299999999999998</v>
      </c>
      <c r="E199" s="683" t="s">
        <v>420</v>
      </c>
      <c r="F199" s="712" t="s">
        <v>587</v>
      </c>
    </row>
    <row r="200" spans="1:6" ht="15.75" x14ac:dyDescent="0.25">
      <c r="A200" s="738" t="s">
        <v>1239</v>
      </c>
      <c r="B200" s="739" t="s">
        <v>452</v>
      </c>
      <c r="C200" s="740">
        <v>19202000377</v>
      </c>
      <c r="D200" s="741">
        <v>2.5099999999999998</v>
      </c>
      <c r="E200" s="683" t="s">
        <v>420</v>
      </c>
      <c r="F200" s="712" t="s">
        <v>588</v>
      </c>
    </row>
    <row r="201" spans="1:6" ht="15.75" x14ac:dyDescent="0.25">
      <c r="A201" s="738" t="s">
        <v>1239</v>
      </c>
      <c r="B201" s="739" t="s">
        <v>452</v>
      </c>
      <c r="C201" s="740">
        <v>19202000367</v>
      </c>
      <c r="D201" s="741">
        <v>2.4700000000000002</v>
      </c>
      <c r="E201" s="683" t="s">
        <v>420</v>
      </c>
      <c r="F201" s="712" t="s">
        <v>589</v>
      </c>
    </row>
    <row r="202" spans="1:6" ht="15.75" x14ac:dyDescent="0.25">
      <c r="A202" s="738" t="s">
        <v>1239</v>
      </c>
      <c r="B202" s="739" t="s">
        <v>452</v>
      </c>
      <c r="C202" s="740">
        <v>19202000366</v>
      </c>
      <c r="D202" s="741">
        <v>2.4500000000000002</v>
      </c>
      <c r="E202" s="683" t="s">
        <v>420</v>
      </c>
      <c r="F202" s="712" t="s">
        <v>590</v>
      </c>
    </row>
    <row r="203" spans="1:6" ht="15.75" x14ac:dyDescent="0.25">
      <c r="A203" s="738" t="s">
        <v>1239</v>
      </c>
      <c r="B203" s="739" t="s">
        <v>452</v>
      </c>
      <c r="C203" s="740">
        <v>19202000361</v>
      </c>
      <c r="D203" s="741">
        <v>2.44</v>
      </c>
      <c r="E203" s="683" t="s">
        <v>420</v>
      </c>
      <c r="F203" s="712" t="s">
        <v>591</v>
      </c>
    </row>
    <row r="204" spans="1:6" ht="15.75" x14ac:dyDescent="0.25">
      <c r="A204" s="738" t="s">
        <v>1239</v>
      </c>
      <c r="B204" s="739" t="s">
        <v>452</v>
      </c>
      <c r="C204" s="740">
        <v>19202000362</v>
      </c>
      <c r="D204" s="741">
        <v>2.4300000000000002</v>
      </c>
      <c r="E204" s="683" t="s">
        <v>420</v>
      </c>
      <c r="F204" s="712" t="s">
        <v>592</v>
      </c>
    </row>
    <row r="205" spans="1:6" ht="15.75" x14ac:dyDescent="0.25">
      <c r="A205" s="738" t="s">
        <v>1239</v>
      </c>
      <c r="B205" s="739" t="s">
        <v>452</v>
      </c>
      <c r="C205" s="740">
        <v>19202000357</v>
      </c>
      <c r="D205" s="741">
        <v>2.41</v>
      </c>
      <c r="E205" s="683" t="s">
        <v>420</v>
      </c>
      <c r="F205" s="712" t="s">
        <v>593</v>
      </c>
    </row>
    <row r="206" spans="1:6" ht="15.75" x14ac:dyDescent="0.25">
      <c r="A206" s="738" t="s">
        <v>1239</v>
      </c>
      <c r="B206" s="739" t="s">
        <v>452</v>
      </c>
      <c r="C206" s="740">
        <v>19202000372</v>
      </c>
      <c r="D206" s="741">
        <v>2.39</v>
      </c>
      <c r="E206" s="683" t="s">
        <v>420</v>
      </c>
      <c r="F206" s="712" t="s">
        <v>594</v>
      </c>
    </row>
    <row r="207" spans="1:6" ht="15.75" x14ac:dyDescent="0.25">
      <c r="A207" s="738" t="s">
        <v>1239</v>
      </c>
      <c r="B207" s="739" t="s">
        <v>452</v>
      </c>
      <c r="C207" s="740">
        <v>19202000365</v>
      </c>
      <c r="D207" s="741">
        <v>2.36</v>
      </c>
      <c r="E207" s="683" t="s">
        <v>420</v>
      </c>
      <c r="F207" s="712" t="s">
        <v>595</v>
      </c>
    </row>
    <row r="208" spans="1:6" ht="15.75" x14ac:dyDescent="0.25">
      <c r="A208" s="738" t="s">
        <v>1239</v>
      </c>
      <c r="B208" s="739" t="s">
        <v>452</v>
      </c>
      <c r="C208" s="740">
        <v>19202000374</v>
      </c>
      <c r="D208" s="741">
        <v>2.23</v>
      </c>
      <c r="E208" s="683" t="s">
        <v>420</v>
      </c>
      <c r="F208" s="712" t="s">
        <v>596</v>
      </c>
    </row>
    <row r="209" spans="1:7" ht="15.75" x14ac:dyDescent="0.25">
      <c r="A209" s="738" t="s">
        <v>1239</v>
      </c>
      <c r="B209" s="739" t="s">
        <v>452</v>
      </c>
      <c r="C209" s="740">
        <v>19202000351</v>
      </c>
      <c r="D209" s="741">
        <v>2.0299999999999998</v>
      </c>
      <c r="E209" s="683" t="s">
        <v>420</v>
      </c>
      <c r="F209" s="712" t="s">
        <v>597</v>
      </c>
    </row>
    <row r="210" spans="1:7" ht="15.75" x14ac:dyDescent="0.25">
      <c r="A210" s="738" t="s">
        <v>1240</v>
      </c>
      <c r="B210" s="739" t="s">
        <v>452</v>
      </c>
      <c r="C210" s="740">
        <v>19202000371</v>
      </c>
      <c r="D210" s="741">
        <v>2</v>
      </c>
      <c r="E210" s="683" t="s">
        <v>420</v>
      </c>
      <c r="F210" s="712" t="s">
        <v>598</v>
      </c>
    </row>
    <row r="211" spans="1:7" x14ac:dyDescent="0.25">
      <c r="A211" s="2" t="s">
        <v>1244</v>
      </c>
      <c r="B211" s="748" t="s">
        <v>1082</v>
      </c>
      <c r="C211" s="2">
        <v>19202000464</v>
      </c>
      <c r="D211" s="2">
        <v>2.86</v>
      </c>
      <c r="E211" s="701" t="s">
        <v>419</v>
      </c>
      <c r="F211" s="712" t="s">
        <v>578</v>
      </c>
    </row>
    <row r="212" spans="1:7" x14ac:dyDescent="0.25">
      <c r="A212" s="2" t="s">
        <v>1244</v>
      </c>
      <c r="B212" s="748" t="s">
        <v>1082</v>
      </c>
      <c r="C212" s="2">
        <v>19202000471</v>
      </c>
      <c r="D212" s="2">
        <v>2.82</v>
      </c>
      <c r="E212" s="701" t="s">
        <v>419</v>
      </c>
      <c r="F212" s="712" t="s">
        <v>579</v>
      </c>
    </row>
    <row r="213" spans="1:7" x14ac:dyDescent="0.25">
      <c r="A213" s="2" t="s">
        <v>1244</v>
      </c>
      <c r="B213" s="748" t="s">
        <v>1082</v>
      </c>
      <c r="C213" s="2">
        <v>19202000467</v>
      </c>
      <c r="D213" s="2">
        <v>2.81</v>
      </c>
      <c r="E213" s="701" t="s">
        <v>419</v>
      </c>
      <c r="F213" s="712" t="s">
        <v>580</v>
      </c>
    </row>
    <row r="214" spans="1:7" x14ac:dyDescent="0.25">
      <c r="A214" s="2" t="s">
        <v>1244</v>
      </c>
      <c r="B214" s="748" t="s">
        <v>1082</v>
      </c>
      <c r="C214" s="2">
        <v>19202000472</v>
      </c>
      <c r="D214" s="2">
        <v>2.71</v>
      </c>
      <c r="E214" s="701" t="s">
        <v>419</v>
      </c>
      <c r="F214" s="712" t="s">
        <v>581</v>
      </c>
    </row>
    <row r="215" spans="1:7" x14ac:dyDescent="0.25">
      <c r="A215" s="2" t="s">
        <v>1244</v>
      </c>
      <c r="B215" s="748" t="s">
        <v>1082</v>
      </c>
      <c r="C215" s="2">
        <v>19202000468</v>
      </c>
      <c r="D215" s="2">
        <v>2.6</v>
      </c>
      <c r="E215" s="701" t="s">
        <v>419</v>
      </c>
      <c r="F215" s="712" t="s">
        <v>582</v>
      </c>
    </row>
    <row r="216" spans="1:7" x14ac:dyDescent="0.25">
      <c r="A216" s="2" t="s">
        <v>1244</v>
      </c>
      <c r="B216" s="748" t="s">
        <v>1082</v>
      </c>
      <c r="C216" s="2">
        <v>19202000470</v>
      </c>
      <c r="D216" s="2">
        <v>2.0499999999999998</v>
      </c>
      <c r="E216" s="683" t="s">
        <v>420</v>
      </c>
      <c r="F216" s="712" t="s">
        <v>583</v>
      </c>
    </row>
    <row r="217" spans="1:7" x14ac:dyDescent="0.25">
      <c r="A217" s="2" t="s">
        <v>1244</v>
      </c>
      <c r="B217" s="748" t="s">
        <v>1082</v>
      </c>
      <c r="C217" s="2">
        <v>19202000474</v>
      </c>
      <c r="D217" s="2">
        <v>2.02</v>
      </c>
      <c r="E217" s="683" t="s">
        <v>420</v>
      </c>
      <c r="F217" s="712" t="s">
        <v>584</v>
      </c>
    </row>
    <row r="218" spans="1:7" x14ac:dyDescent="0.25">
      <c r="A218" s="2" t="s">
        <v>1244</v>
      </c>
      <c r="B218" s="748" t="s">
        <v>1082</v>
      </c>
      <c r="C218" s="2">
        <v>19202000473</v>
      </c>
      <c r="D218" s="2">
        <v>1.91</v>
      </c>
      <c r="E218" s="683" t="s">
        <v>420</v>
      </c>
      <c r="F218" s="712" t="s">
        <v>585</v>
      </c>
    </row>
    <row r="219" spans="1:7" x14ac:dyDescent="0.25">
      <c r="A219" s="2" t="s">
        <v>1362</v>
      </c>
      <c r="B219" s="2" t="s">
        <v>1363</v>
      </c>
      <c r="C219" s="647">
        <v>19202100690</v>
      </c>
      <c r="D219" s="647">
        <v>2.61</v>
      </c>
      <c r="E219" s="701" t="s">
        <v>419</v>
      </c>
      <c r="F219" s="5" t="s">
        <v>578</v>
      </c>
    </row>
    <row r="220" spans="1:7" x14ac:dyDescent="0.25">
      <c r="A220" s="2" t="s">
        <v>1362</v>
      </c>
      <c r="B220" s="2" t="s">
        <v>1364</v>
      </c>
      <c r="C220" s="2">
        <v>19202100713</v>
      </c>
      <c r="D220" s="2">
        <v>2.7</v>
      </c>
      <c r="E220" s="701" t="s">
        <v>419</v>
      </c>
      <c r="F220" s="712" t="s">
        <v>578</v>
      </c>
      <c r="G220" s="647"/>
    </row>
    <row r="221" spans="1:7" x14ac:dyDescent="0.25">
      <c r="A221" s="2" t="s">
        <v>1362</v>
      </c>
      <c r="B221" s="2" t="s">
        <v>1364</v>
      </c>
      <c r="C221" s="2">
        <v>19202100726</v>
      </c>
      <c r="D221" s="2">
        <v>2.69</v>
      </c>
      <c r="E221" s="701" t="s">
        <v>419</v>
      </c>
      <c r="F221" s="712" t="s">
        <v>579</v>
      </c>
      <c r="G221" s="647"/>
    </row>
    <row r="222" spans="1:7" x14ac:dyDescent="0.25">
      <c r="A222" s="2" t="s">
        <v>1362</v>
      </c>
      <c r="B222" s="2" t="s">
        <v>1364</v>
      </c>
      <c r="C222" s="2">
        <v>19202100730</v>
      </c>
      <c r="D222" s="2">
        <v>2.67</v>
      </c>
      <c r="E222" s="701" t="s">
        <v>419</v>
      </c>
      <c r="F222" s="712" t="s">
        <v>580</v>
      </c>
      <c r="G222" s="647"/>
    </row>
    <row r="223" spans="1:7" x14ac:dyDescent="0.25">
      <c r="A223" s="2" t="s">
        <v>1362</v>
      </c>
      <c r="B223" s="2" t="s">
        <v>1364</v>
      </c>
      <c r="C223" s="2">
        <v>19202100695</v>
      </c>
      <c r="D223" s="2">
        <v>2.59</v>
      </c>
      <c r="E223" s="701" t="s">
        <v>419</v>
      </c>
      <c r="F223" s="712" t="s">
        <v>581</v>
      </c>
      <c r="G223" s="647"/>
    </row>
    <row r="224" spans="1:7" x14ac:dyDescent="0.25">
      <c r="A224" s="2" t="s">
        <v>1362</v>
      </c>
      <c r="B224" s="2" t="s">
        <v>1364</v>
      </c>
      <c r="C224" s="2">
        <v>19202100699</v>
      </c>
      <c r="D224" s="2">
        <v>2.59</v>
      </c>
      <c r="E224" s="701" t="s">
        <v>419</v>
      </c>
      <c r="F224" s="712" t="s">
        <v>582</v>
      </c>
      <c r="G224" s="647"/>
    </row>
    <row r="225" spans="1:7" x14ac:dyDescent="0.25">
      <c r="A225" s="2" t="s">
        <v>1362</v>
      </c>
      <c r="B225" s="2" t="s">
        <v>1364</v>
      </c>
      <c r="C225" s="2">
        <v>19202100716</v>
      </c>
      <c r="D225" s="2">
        <v>2.36</v>
      </c>
      <c r="E225" s="701" t="s">
        <v>419</v>
      </c>
      <c r="F225" s="712" t="s">
        <v>583</v>
      </c>
      <c r="G225" s="647"/>
    </row>
    <row r="226" spans="1:7" x14ac:dyDescent="0.25">
      <c r="A226" s="2" t="s">
        <v>1362</v>
      </c>
      <c r="B226" s="2" t="s">
        <v>1364</v>
      </c>
      <c r="C226" s="2">
        <v>19202100725</v>
      </c>
      <c r="D226" s="2">
        <v>2.34</v>
      </c>
      <c r="E226" s="701" t="s">
        <v>419</v>
      </c>
      <c r="F226" s="712" t="s">
        <v>584</v>
      </c>
      <c r="G226" s="647"/>
    </row>
    <row r="227" spans="1:7" x14ac:dyDescent="0.25">
      <c r="A227" s="2" t="s">
        <v>1362</v>
      </c>
      <c r="B227" s="2" t="s">
        <v>1364</v>
      </c>
      <c r="C227" s="2">
        <v>19202100728</v>
      </c>
      <c r="D227" s="2">
        <v>2.33</v>
      </c>
      <c r="E227" s="701" t="s">
        <v>419</v>
      </c>
      <c r="F227" s="712" t="s">
        <v>585</v>
      </c>
      <c r="G227" s="647"/>
    </row>
    <row r="228" spans="1:7" x14ac:dyDescent="0.25">
      <c r="A228" s="2" t="s">
        <v>1362</v>
      </c>
      <c r="B228" s="2" t="s">
        <v>1364</v>
      </c>
      <c r="C228" s="2">
        <v>19202100737</v>
      </c>
      <c r="D228" s="2">
        <v>2.2799999999999998</v>
      </c>
      <c r="E228" s="683" t="s">
        <v>420</v>
      </c>
      <c r="F228" s="5" t="s">
        <v>586</v>
      </c>
      <c r="G228" s="647"/>
    </row>
    <row r="229" spans="1:7" x14ac:dyDescent="0.25">
      <c r="A229" s="2" t="s">
        <v>1362</v>
      </c>
      <c r="B229" s="2" t="s">
        <v>1364</v>
      </c>
      <c r="C229" s="2">
        <v>19202100723</v>
      </c>
      <c r="D229" s="2">
        <v>2.2599999999999998</v>
      </c>
      <c r="E229" s="683" t="s">
        <v>420</v>
      </c>
      <c r="F229" s="5" t="s">
        <v>587</v>
      </c>
      <c r="G229" s="647"/>
    </row>
    <row r="230" spans="1:7" x14ac:dyDescent="0.25">
      <c r="A230" s="2" t="s">
        <v>1362</v>
      </c>
      <c r="B230" s="2" t="s">
        <v>1364</v>
      </c>
      <c r="C230" s="2">
        <v>19202100691</v>
      </c>
      <c r="D230" s="2">
        <v>1.81</v>
      </c>
      <c r="E230" s="683" t="s">
        <v>420</v>
      </c>
      <c r="F230" s="5" t="s">
        <v>588</v>
      </c>
      <c r="G230" s="647"/>
    </row>
    <row r="231" spans="1:7" x14ac:dyDescent="0.25">
      <c r="A231" s="2" t="s">
        <v>1362</v>
      </c>
      <c r="B231" s="2" t="s">
        <v>1364</v>
      </c>
      <c r="C231" s="2">
        <v>19202100739</v>
      </c>
      <c r="D231" s="2">
        <v>1.65</v>
      </c>
      <c r="E231" s="683" t="s">
        <v>420</v>
      </c>
      <c r="F231" s="5" t="s">
        <v>589</v>
      </c>
      <c r="G231" s="647"/>
    </row>
    <row r="232" spans="1:7" x14ac:dyDescent="0.25">
      <c r="A232" s="2" t="s">
        <v>1362</v>
      </c>
      <c r="B232" s="2" t="s">
        <v>1364</v>
      </c>
      <c r="C232" s="2">
        <v>19202100712</v>
      </c>
      <c r="D232" s="2">
        <v>1.6</v>
      </c>
      <c r="E232" s="683" t="s">
        <v>420</v>
      </c>
      <c r="F232" s="5" t="s">
        <v>590</v>
      </c>
      <c r="G232" s="647"/>
    </row>
    <row r="233" spans="1:7" x14ac:dyDescent="0.25">
      <c r="A233" s="2" t="s">
        <v>1425</v>
      </c>
      <c r="B233" s="2" t="s">
        <v>1426</v>
      </c>
      <c r="C233" s="2">
        <v>19202101377</v>
      </c>
      <c r="D233" s="2">
        <v>2.88</v>
      </c>
      <c r="E233" s="701" t="s">
        <v>419</v>
      </c>
      <c r="F233" s="712" t="s">
        <v>578</v>
      </c>
      <c r="G233" s="829"/>
    </row>
    <row r="234" spans="1:7" x14ac:dyDescent="0.25">
      <c r="A234" s="2" t="s">
        <v>1425</v>
      </c>
      <c r="B234" s="2" t="s">
        <v>1426</v>
      </c>
      <c r="C234" s="2">
        <v>19202101380</v>
      </c>
      <c r="D234" s="2">
        <v>2.74</v>
      </c>
      <c r="E234" s="701" t="s">
        <v>419</v>
      </c>
      <c r="F234" s="712" t="s">
        <v>579</v>
      </c>
      <c r="G234" s="829"/>
    </row>
    <row r="235" spans="1:7" x14ac:dyDescent="0.25">
      <c r="A235" s="2" t="s">
        <v>1425</v>
      </c>
      <c r="B235" s="2" t="s">
        <v>1426</v>
      </c>
      <c r="C235" s="2">
        <v>19202101390</v>
      </c>
      <c r="D235" s="2">
        <v>2.68</v>
      </c>
      <c r="E235" s="701" t="s">
        <v>419</v>
      </c>
      <c r="F235" s="712" t="s">
        <v>580</v>
      </c>
      <c r="G235" s="829"/>
    </row>
    <row r="236" spans="1:7" x14ac:dyDescent="0.25">
      <c r="A236" s="2" t="s">
        <v>1425</v>
      </c>
      <c r="B236" s="2" t="s">
        <v>1426</v>
      </c>
      <c r="C236" s="2">
        <v>19202101274</v>
      </c>
      <c r="D236" s="2">
        <v>2.67</v>
      </c>
      <c r="E236" s="701" t="s">
        <v>419</v>
      </c>
      <c r="F236" s="712" t="s">
        <v>581</v>
      </c>
      <c r="G236" s="829"/>
    </row>
    <row r="237" spans="1:7" x14ac:dyDescent="0.25">
      <c r="A237" s="2" t="s">
        <v>1425</v>
      </c>
      <c r="B237" s="2" t="s">
        <v>1426</v>
      </c>
      <c r="C237" s="2">
        <v>19202101387</v>
      </c>
      <c r="D237" s="2">
        <v>2.64</v>
      </c>
      <c r="E237" s="701" t="s">
        <v>419</v>
      </c>
      <c r="F237" s="712" t="s">
        <v>582</v>
      </c>
      <c r="G237" s="829"/>
    </row>
    <row r="238" spans="1:7" x14ac:dyDescent="0.25">
      <c r="A238" s="2" t="s">
        <v>1425</v>
      </c>
      <c r="B238" s="2" t="s">
        <v>1426</v>
      </c>
      <c r="C238" s="2">
        <v>19202101385</v>
      </c>
      <c r="D238" s="2">
        <v>2.44</v>
      </c>
      <c r="E238" s="701" t="s">
        <v>419</v>
      </c>
      <c r="F238" s="712" t="s">
        <v>583</v>
      </c>
      <c r="G238" s="829"/>
    </row>
    <row r="239" spans="1:7" x14ac:dyDescent="0.25">
      <c r="A239" s="2" t="s">
        <v>1425</v>
      </c>
      <c r="B239" s="2" t="s">
        <v>1426</v>
      </c>
      <c r="C239" s="2">
        <v>19202101372</v>
      </c>
      <c r="D239" s="2">
        <v>2.35</v>
      </c>
      <c r="E239" s="701" t="s">
        <v>419</v>
      </c>
      <c r="F239" s="712" t="s">
        <v>584</v>
      </c>
      <c r="G239" s="829"/>
    </row>
    <row r="240" spans="1:7" x14ac:dyDescent="0.25">
      <c r="A240" s="2" t="s">
        <v>1425</v>
      </c>
      <c r="B240" s="2" t="s">
        <v>1426</v>
      </c>
      <c r="C240" s="2">
        <v>19202101289</v>
      </c>
      <c r="D240" s="2">
        <v>2.34</v>
      </c>
      <c r="E240" s="701" t="s">
        <v>419</v>
      </c>
      <c r="F240" s="712" t="s">
        <v>585</v>
      </c>
      <c r="G240" s="829"/>
    </row>
    <row r="241" spans="1:7" x14ac:dyDescent="0.25">
      <c r="A241" s="2" t="s">
        <v>1425</v>
      </c>
      <c r="B241" s="2" t="s">
        <v>1426</v>
      </c>
      <c r="C241" s="2">
        <v>19202101389</v>
      </c>
      <c r="D241" s="2">
        <v>2.3199999999999998</v>
      </c>
      <c r="E241" s="701" t="s">
        <v>419</v>
      </c>
      <c r="F241" s="5" t="s">
        <v>586</v>
      </c>
      <c r="G241" s="829"/>
    </row>
    <row r="242" spans="1:7" x14ac:dyDescent="0.25">
      <c r="A242" s="2" t="s">
        <v>1425</v>
      </c>
      <c r="B242" s="2" t="s">
        <v>1426</v>
      </c>
      <c r="C242" s="2">
        <v>19202101393</v>
      </c>
      <c r="D242" s="2">
        <v>2.27</v>
      </c>
      <c r="E242" s="683" t="s">
        <v>420</v>
      </c>
      <c r="F242" s="5" t="s">
        <v>587</v>
      </c>
      <c r="G242" s="829"/>
    </row>
    <row r="243" spans="1:7" x14ac:dyDescent="0.25">
      <c r="A243" s="2" t="s">
        <v>1425</v>
      </c>
      <c r="B243" s="2" t="s">
        <v>1426</v>
      </c>
      <c r="C243" s="2">
        <v>19202101297</v>
      </c>
      <c r="D243" s="2">
        <v>2.2400000000000002</v>
      </c>
      <c r="E243" s="683" t="s">
        <v>420</v>
      </c>
      <c r="F243" s="5" t="s">
        <v>588</v>
      </c>
      <c r="G243" s="829"/>
    </row>
    <row r="244" spans="1:7" x14ac:dyDescent="0.25">
      <c r="A244" s="2" t="s">
        <v>1425</v>
      </c>
      <c r="B244" s="2" t="s">
        <v>1426</v>
      </c>
      <c r="C244" s="2">
        <v>19202101388</v>
      </c>
      <c r="D244" s="2">
        <v>2.21</v>
      </c>
      <c r="E244" s="683" t="s">
        <v>420</v>
      </c>
      <c r="F244" s="5" t="s">
        <v>589</v>
      </c>
      <c r="G244" s="829"/>
    </row>
    <row r="245" spans="1:7" x14ac:dyDescent="0.25">
      <c r="A245" s="2" t="s">
        <v>1425</v>
      </c>
      <c r="B245" s="2" t="s">
        <v>1426</v>
      </c>
      <c r="C245" s="2">
        <v>19202101381</v>
      </c>
      <c r="D245" s="2">
        <v>2.19</v>
      </c>
      <c r="E245" s="683" t="s">
        <v>420</v>
      </c>
      <c r="F245" s="5" t="s">
        <v>590</v>
      </c>
      <c r="G245" s="829"/>
    </row>
    <row r="246" spans="1:7" x14ac:dyDescent="0.25">
      <c r="A246" s="2" t="s">
        <v>1425</v>
      </c>
      <c r="B246" s="2" t="s">
        <v>1426</v>
      </c>
      <c r="C246" s="2">
        <v>19202101373</v>
      </c>
      <c r="D246" s="2">
        <v>2.08</v>
      </c>
      <c r="E246" s="683" t="s">
        <v>420</v>
      </c>
      <c r="F246" s="371" t="s">
        <v>591</v>
      </c>
      <c r="G246" s="829"/>
    </row>
    <row r="247" spans="1:7" x14ac:dyDescent="0.25">
      <c r="A247" s="2" t="s">
        <v>1425</v>
      </c>
      <c r="B247" s="2" t="s">
        <v>1426</v>
      </c>
      <c r="C247" s="2">
        <v>19202101391</v>
      </c>
      <c r="D247" s="2">
        <v>2.0299999999999998</v>
      </c>
      <c r="E247" s="683" t="s">
        <v>420</v>
      </c>
      <c r="F247" s="371" t="s">
        <v>592</v>
      </c>
      <c r="G247" s="829"/>
    </row>
    <row r="248" spans="1:7" x14ac:dyDescent="0.25">
      <c r="A248" s="2" t="s">
        <v>1425</v>
      </c>
      <c r="B248" s="2" t="s">
        <v>1426</v>
      </c>
      <c r="C248" s="2">
        <v>19202101386</v>
      </c>
      <c r="D248" s="2">
        <v>2.0099999999999998</v>
      </c>
      <c r="E248" s="683" t="s">
        <v>420</v>
      </c>
      <c r="F248" s="371" t="s">
        <v>593</v>
      </c>
      <c r="G248" s="829"/>
    </row>
    <row r="249" spans="1:7" x14ac:dyDescent="0.25">
      <c r="A249" s="2" t="s">
        <v>1425</v>
      </c>
      <c r="B249" s="2" t="s">
        <v>1427</v>
      </c>
      <c r="C249" s="2">
        <v>19202101382</v>
      </c>
      <c r="D249" s="2">
        <v>2.54</v>
      </c>
      <c r="E249" s="701" t="s">
        <v>419</v>
      </c>
      <c r="F249" s="712" t="s">
        <v>578</v>
      </c>
      <c r="G249" s="828"/>
    </row>
    <row r="250" spans="1:7" x14ac:dyDescent="0.25">
      <c r="A250" s="2" t="s">
        <v>1425</v>
      </c>
      <c r="B250" s="2" t="s">
        <v>1427</v>
      </c>
      <c r="C250" s="2">
        <v>19202101379</v>
      </c>
      <c r="D250" s="2">
        <v>2.44</v>
      </c>
      <c r="E250" s="701" t="s">
        <v>419</v>
      </c>
      <c r="F250" s="712" t="s">
        <v>579</v>
      </c>
      <c r="G250" s="828"/>
    </row>
    <row r="251" spans="1:7" x14ac:dyDescent="0.25">
      <c r="A251" s="2" t="s">
        <v>1425</v>
      </c>
      <c r="B251" s="2" t="s">
        <v>1427</v>
      </c>
      <c r="C251" s="2">
        <v>19202101383</v>
      </c>
      <c r="D251" s="2">
        <v>2.42</v>
      </c>
      <c r="E251" s="701" t="s">
        <v>419</v>
      </c>
      <c r="F251" s="712" t="s">
        <v>580</v>
      </c>
      <c r="G251" s="828"/>
    </row>
    <row r="252" spans="1:7" x14ac:dyDescent="0.25">
      <c r="A252" s="2" t="s">
        <v>1425</v>
      </c>
      <c r="B252" s="2" t="s">
        <v>1427</v>
      </c>
      <c r="C252" s="2">
        <v>19202101384</v>
      </c>
      <c r="D252" s="2">
        <v>2.2400000000000002</v>
      </c>
      <c r="E252" s="701" t="s">
        <v>419</v>
      </c>
      <c r="F252" s="712" t="s">
        <v>581</v>
      </c>
      <c r="G252" s="828"/>
    </row>
    <row r="253" spans="1:7" x14ac:dyDescent="0.25">
      <c r="A253" s="2" t="s">
        <v>1425</v>
      </c>
      <c r="B253" s="2" t="s">
        <v>1427</v>
      </c>
      <c r="C253" s="2">
        <v>19202101270</v>
      </c>
      <c r="D253" s="2">
        <v>1.85</v>
      </c>
      <c r="E253" s="683" t="s">
        <v>420</v>
      </c>
      <c r="F253" s="712" t="s">
        <v>582</v>
      </c>
      <c r="G253" s="828"/>
    </row>
  </sheetData>
  <sortState ref="A3:F54">
    <sortCondition descending="1" ref="B48"/>
  </sortState>
  <mergeCells count="1">
    <mergeCell ref="A1:F1"/>
  </mergeCells>
  <hyperlinks>
    <hyperlink ref="C135" r:id="rId1" location="/router?komponent=taotlus&amp;id=412661&amp;kuva=ava" display="https://pms.arib.pria.ee/pms-menetlus/ - /router?komponent=taotlus&amp;id=412661&amp;kuva=ava"/>
    <hyperlink ref="C136" r:id="rId2" location="/router?komponent=taotlus&amp;id=414359&amp;kuva=ava" display="https://pms.arib.pria.ee/pms-menetlus/ - /router?komponent=taotlus&amp;id=414359&amp;kuva=ava"/>
    <hyperlink ref="C137" r:id="rId3" location="/router?komponent=taotlus&amp;id=412614&amp;kuva=ava" display="https://pms.arib.pria.ee/pms-menetlus/ - /router?komponent=taotlus&amp;id=412614&amp;kuva=ava"/>
    <hyperlink ref="C138" r:id="rId4" location="/router?komponent=taotlus&amp;id=415895&amp;kuva=ava" display="https://pms.arib.pria.ee/pms-menetlus/ - /router?komponent=taotlus&amp;id=415895&amp;kuva=ava"/>
    <hyperlink ref="C139" r:id="rId5" location="/router?komponent=taotlus&amp;id=419258&amp;kuva=ava" display="https://pms.arib.pria.ee/pms-menetlus/ - /router?komponent=taotlus&amp;id=419258&amp;kuva=ava"/>
    <hyperlink ref="C140" r:id="rId6" location="/router?komponent=taotlus&amp;id=419676&amp;kuva=ava" display="https://pms.arib.pria.ee/pms-menetlus/ - /router?komponent=taotlus&amp;id=419676&amp;kuva=ava"/>
    <hyperlink ref="C141" r:id="rId7" location="/router?komponent=taotlus&amp;id=411639&amp;kuva=ava" display="https://pms.arib.pria.ee/pms-menetlus/ - /router?komponent=taotlus&amp;id=411639&amp;kuva=ava"/>
    <hyperlink ref="C142" r:id="rId8" location="/router?komponent=taotlus&amp;id=415132&amp;kuva=ava" display="https://pms.arib.pria.ee/pms-menetlus/ - /router?komponent=taotlus&amp;id=415132&amp;kuva=ava"/>
    <hyperlink ref="C143" r:id="rId9" location="/router?komponent=taotlus&amp;id=423361&amp;kuva=ava" display="https://pms.arib.pria.ee/pms-menetlus/ - /router?komponent=taotlus&amp;id=423361&amp;kuva=ava"/>
    <hyperlink ref="C144" r:id="rId10" location="/router?komponent=taotlus&amp;id=416641&amp;kuva=ava" display="https://pms.arib.pria.ee/pms-menetlus/ - /router?komponent=taotlus&amp;id=416641&amp;kuva=ava"/>
    <hyperlink ref="C145" r:id="rId11" location="/router?komponent=taotlus&amp;id=411698&amp;kuva=ava" display="https://pms.arib.pria.ee/pms-menetlus/ - /router?komponent=taotlus&amp;id=411698&amp;kuva=ava"/>
    <hyperlink ref="C146" r:id="rId12" location="/router?komponent=taotlus&amp;id=420933&amp;kuva=ava" display="https://pms.arib.pria.ee/pms-menetlus/ - /router?komponent=taotlus&amp;id=420933&amp;kuva=ava"/>
    <hyperlink ref="C147" r:id="rId13" location="/router?komponent=taotlus&amp;id=422976&amp;kuva=ava" display="https://pms.arib.pria.ee/pms-menetlus/ - /router?komponent=taotlus&amp;id=422976&amp;kuva=ava"/>
    <hyperlink ref="C148" r:id="rId14" location="/router?komponent=taotlus&amp;id=415809&amp;kuva=ava" display="https://pms.arib.pria.ee/pms-menetlus/ - /router?komponent=taotlus&amp;id=415809&amp;kuva=ava"/>
    <hyperlink ref="C149" r:id="rId15" location="/router?komponent=taotlus&amp;id=424932&amp;kuva=ava" display="https://pms.arib.pria.ee/pms-menetlus/ - /router?komponent=taotlus&amp;id=424932&amp;kuva=ava"/>
    <hyperlink ref="C150" r:id="rId16" location="/router?komponent=taotlus&amp;id=413990&amp;kuva=ava" display="https://pms.arib.pria.ee/pms-menetlus/ - /router?komponent=taotlus&amp;id=413990&amp;kuva=ava"/>
    <hyperlink ref="C151" r:id="rId17" location="/router?komponent=taotlus&amp;id=417140&amp;kuva=ava" display="https://pms.arib.pria.ee/pms-menetlus/ - /router?komponent=taotlus&amp;id=417140&amp;kuva=ava"/>
    <hyperlink ref="C152" r:id="rId18" location="/router?komponent=taotlus&amp;id=642929&amp;kuva=ava" display="https://pms.arib.pria.ee/pms-menetlus/ - /router?komponent=taotlus&amp;id=642929&amp;kuva=ava"/>
    <hyperlink ref="C153" r:id="rId19" location="/router?komponent=taotlus&amp;id=644160&amp;kuva=ava" display="https://pms.arib.pria.ee/pms-menetlus/ - /router?komponent=taotlus&amp;id=644160&amp;kuva=ava"/>
    <hyperlink ref="C154" r:id="rId20" location="/router?komponent=taotlus&amp;id=643118&amp;kuva=ava" display="https://pms.arib.pria.ee/pms-menetlus/ - /router?komponent=taotlus&amp;id=643118&amp;kuva=ava"/>
    <hyperlink ref="C155" r:id="rId21" location="/router?komponent=taotlus&amp;id=645337&amp;kuva=ava" display="https://pms.arib.pria.ee/pms-menetlus/ - /router?komponent=taotlus&amp;id=645337&amp;kuva=ava"/>
    <hyperlink ref="C156" r:id="rId22" location="/router?komponent=taotlus&amp;id=642913&amp;kuva=ava" display="https://pms.arib.pria.ee/pms-menetlus/ - /router?komponent=taotlus&amp;id=642913&amp;kuva=ava"/>
    <hyperlink ref="C157" r:id="rId23" location="/router?komponent=taotlus&amp;id=644045&amp;kuva=ava" display="https://pms.arib.pria.ee/pms-menetlus/ - /router?komponent=taotlus&amp;id=644045&amp;kuva=ava"/>
    <hyperlink ref="C158" r:id="rId24" location="/router?komponent=taotlus&amp;id=642473&amp;kuva=ava" display="https://pms.arib.pria.ee/pms-menetlus/ - /router?komponent=taotlus&amp;id=642473&amp;kuva=ava"/>
    <hyperlink ref="C159" r:id="rId25" location="/router?komponent=taotlus&amp;id=644057&amp;kuva=ava" display="https://pms.arib.pria.ee/pms-menetlus/ - /router?komponent=taotlus&amp;id=644057&amp;kuva=ava"/>
    <hyperlink ref="C160" r:id="rId26" location="/router?komponent=taotlus&amp;id=642721&amp;kuva=ava" display="https://pms.arib.pria.ee/pms-menetlus/ - /router?komponent=taotlus&amp;id=642721&amp;kuva=ava"/>
    <hyperlink ref="C161" r:id="rId27" location="/router?komponent=taotlus&amp;id=644788&amp;kuva=ava" display="https://pms.arib.pria.ee/pms-menetlus/ - /router?komponent=taotlus&amp;id=644788&amp;kuva=ava"/>
    <hyperlink ref="C162" r:id="rId28" location="/router?komponent=taotlus&amp;id=637992&amp;kuva=ava" display="https://pms.arib.pria.ee/pms-menetlus/ - /router?komponent=taotlus&amp;id=637992&amp;kuva=ava"/>
    <hyperlink ref="C163" r:id="rId29" location="/router?komponent=taotlus&amp;id=644881&amp;kuva=ava" display="https://pms.arib.pria.ee/pms-menetlus/ - /router?komponent=taotlus&amp;id=644881&amp;kuva=ava"/>
    <hyperlink ref="C164" r:id="rId30" location="/router?komponent=taotlus&amp;id=642389&amp;kuva=ava" display="https://pms.arib.pria.ee/pms-menetlus/ - /router?komponent=taotlus&amp;id=642389&amp;kuva=ava"/>
    <hyperlink ref="C165" r:id="rId31" location="/router?komponent=taotlus&amp;id=638406&amp;kuva=ava" display="https://pms.arib.pria.ee/pms-menetlus/ - /router?komponent=taotlus&amp;id=638406&amp;kuva=ava"/>
    <hyperlink ref="C166" r:id="rId32" location="/router?komponent=taotlus&amp;id=642561&amp;kuva=ava" display="https://pms.arib.pria.ee/pms-menetlus/ - /router?komponent=taotlus&amp;id=642561&amp;kuva=ava"/>
    <hyperlink ref="C167" r:id="rId33" location="/router?komponent=taotlus&amp;id=645113&amp;kuva=ava" display="https://pms.arib.pria.ee/pms-menetlus/ - /router?komponent=taotlus&amp;id=645113&amp;kuva=ava"/>
    <hyperlink ref="C168" r:id="rId34" location="/router?komponent=taotlus&amp;id=644932&amp;kuva=ava" display="https://pms.arib.pria.ee/pms-menetlus/ - /router?komponent=taotlus&amp;id=644932&amp;kuva=ava"/>
    <hyperlink ref="C169" r:id="rId35" location="/router?komponent=taotlus&amp;id=644876&amp;kuva=ava" display="https://pms.arib.pria.ee/pms-menetlus/ - /router?komponent=taotlus&amp;id=644876&amp;kuva=ava"/>
    <hyperlink ref="C170" r:id="rId36" location="/router?komponent=taotlus&amp;id=642474&amp;kuva=ava" display="https://pms.arib.pria.ee/pms-menetlus/ - /router?komponent=taotlus&amp;id=642474&amp;kuva=ava"/>
    <hyperlink ref="C171" r:id="rId37" location="/router?komponent=taotlus&amp;id=644407&amp;kuva=ava" display="https://pms.arib.pria.ee/pms-menetlus/ - /router?komponent=taotlus&amp;id=644407&amp;kuva=ava"/>
    <hyperlink ref="C172" r:id="rId38" location="/router?komponent=taotlus&amp;id=643739&amp;kuva=ava" display="https://pms.arib.pria.ee/pms-menetlus/ - /router?komponent=taotlus&amp;id=643739&amp;kuva=ava"/>
    <hyperlink ref="C173" r:id="rId39" location="/router?komponent=taotlus&amp;id=638472&amp;kuva=ava" display="https://pms.arib.pria.ee/pms-menetlus/ - /router?komponent=taotlus&amp;id=638472&amp;kuva=ava"/>
    <hyperlink ref="C174" r:id="rId40" location="/router?komponent=taotlus&amp;id=643233&amp;kuva=ava" display="https://pms.arib.pria.ee/pms-menetlus/ - /router?komponent=taotlus&amp;id=643233&amp;kuva=ava"/>
    <hyperlink ref="C175" r:id="rId41" location="/router?komponent=taotlus&amp;id=643738&amp;kuva=ava" display="https://pms.arib.pria.ee/pms-menetlus/ - /router?komponent=taotlus&amp;id=643738&amp;kuva=ava"/>
    <hyperlink ref="C177" r:id="rId42" location="/router?komponent=taotlus&amp;id=725867&amp;kuva=ava" display="https://pms.arib.pria.ee/pms-menetlus/ - /router?komponent=taotlus&amp;id=725867&amp;kuva=ava"/>
    <hyperlink ref="C178" r:id="rId43" location="/router?komponent=taotlus&amp;id=722771&amp;kuva=ava" display="https://pms.arib.pria.ee/pms-menetlus/ - /router?komponent=taotlus&amp;id=722771&amp;kuva=ava"/>
    <hyperlink ref="C179" r:id="rId44" location="/router?komponent=taotlus&amp;id=724807&amp;kuva=ava" display="https://pms.arib.pria.ee/pms-menetlus/ - /router?komponent=taotlus&amp;id=724807&amp;kuva=ava"/>
    <hyperlink ref="C180" r:id="rId45" location="/router?komponent=taotlus&amp;id=718951&amp;kuva=ava" display="https://pms.arib.pria.ee/pms-menetlus/ - /router?komponent=taotlus&amp;id=718951&amp;kuva=ava"/>
    <hyperlink ref="C181" r:id="rId46" location="/router?komponent=taotlus&amp;id=722478&amp;kuva=ava" display="https://pms.arib.pria.ee/pms-menetlus/ - /router?komponent=taotlus&amp;id=722478&amp;kuva=ava"/>
    <hyperlink ref="C182" r:id="rId47" location="/router?komponent=taotlus&amp;id=718422&amp;kuva=ava" display="https://pms.arib.pria.ee/pms-menetlus/ - /router?komponent=taotlus&amp;id=718422&amp;kuva=ava"/>
    <hyperlink ref="C183" r:id="rId48" location="/router?komponent=taotlus&amp;id=723686&amp;kuva=ava" display="https://pms.arib.pria.ee/pms-menetlus/ - /router?komponent=taotlus&amp;id=723686&amp;kuva=ava"/>
    <hyperlink ref="C184" r:id="rId49" location="/router?komponent=taotlus&amp;id=723485&amp;kuva=ava" display="https://pms.arib.pria.ee/pms-menetlus/ - /router?komponent=taotlus&amp;id=723485&amp;kuva=ava"/>
    <hyperlink ref="C185" r:id="rId50" location="/router?komponent=taotlus&amp;id=718182&amp;kuva=ava" display="https://pms.arib.pria.ee/pms-menetlus/ - /router?komponent=taotlus&amp;id=718182&amp;kuva=ava"/>
    <hyperlink ref="C186" r:id="rId51" location="/router?komponent=taotlus&amp;id=723479&amp;kuva=ava" display="https://pms.arib.pria.ee/pms-menetlus/ - /router?komponent=taotlus&amp;id=723479&amp;kuva=ava"/>
    <hyperlink ref="C187" r:id="rId52" location="/router?komponent=taotlus&amp;id=723788&amp;kuva=ava" display="https://pms.arib.pria.ee/pms-menetlus/ - /router?komponent=taotlus&amp;id=723788&amp;kuva=ava"/>
    <hyperlink ref="C188" r:id="rId53" location="/router?komponent=taotlus&amp;id=722396&amp;kuva=ava" display="https://pms.arib.pria.ee/pms-menetlus/ - /router?komponent=taotlus&amp;id=722396&amp;kuva=ava"/>
    <hyperlink ref="C189" r:id="rId54" location="/router?komponent=taotlus&amp;id=726311&amp;kuva=ava" display="https://pms.arib.pria.ee/pms-menetlus/ - /router?komponent=taotlus&amp;id=726311&amp;kuva=ava"/>
    <hyperlink ref="C190" r:id="rId55" location="/router?komponent=taotlus&amp;id=901970&amp;kuva=ava" display="/router?komponent=taotlus&amp;id=901970&amp;kuva=ava"/>
    <hyperlink ref="C191" r:id="rId56" location="/router?komponent=taotlus&amp;id=903807&amp;kuva=ava" display="https://pms.arib.pria.ee/pms-menetlus/ - /router?komponent=taotlus&amp;id=903807&amp;kuva=ava"/>
    <hyperlink ref="C192" r:id="rId57" location="/router?komponent=taotlus&amp;id=903411&amp;kuva=ava" display="https://pms.arib.pria.ee/pms-menetlus/ - /router?komponent=taotlus&amp;id=903411&amp;kuva=ava"/>
    <hyperlink ref="C193" r:id="rId58" location="/router?komponent=taotlus&amp;id=904561&amp;kuva=ava" display="https://pms.arib.pria.ee/pms-menetlus/ - /router?komponent=taotlus&amp;id=904561&amp;kuva=ava"/>
    <hyperlink ref="C194" r:id="rId59" location="/router?komponent=taotlus&amp;id=902894&amp;kuva=ava" display="https://pms.arib.pria.ee/pms-menetlus/ - /router?komponent=taotlus&amp;id=902894&amp;kuva=ava"/>
    <hyperlink ref="C195" r:id="rId60" location="/router?komponent=taotlus&amp;id=902140&amp;kuva=ava" display="https://pms.arib.pria.ee/pms-menetlus/ - /router?komponent=taotlus&amp;id=902140&amp;kuva=ava"/>
    <hyperlink ref="C196" r:id="rId61" location="/router?komponent=taotlus&amp;id=901325&amp;kuva=ava" display="https://pms.arib.pria.ee/pms-menetlus/ - /router?komponent=taotlus&amp;id=901325&amp;kuva=ava"/>
    <hyperlink ref="C197" r:id="rId62" location="/router?komponent=taotlus&amp;id=903382&amp;kuva=ava" display="https://pms.arib.pria.ee/pms-menetlus/ - /router?komponent=taotlus&amp;id=903382&amp;kuva=ava"/>
    <hyperlink ref="C198" r:id="rId63" location="/router?komponent=taotlus&amp;id=903933&amp;kuva=ava" display="https://pms.arib.pria.ee/pms-menetlus/ - /router?komponent=taotlus&amp;id=903933&amp;kuva=ava"/>
    <hyperlink ref="C199" r:id="rId64" location="/router?komponent=taotlus&amp;id=905090&amp;kuva=ava" display="https://pms.arib.pria.ee/pms-menetlus/ - /router?komponent=taotlus&amp;id=905090&amp;kuva=ava"/>
    <hyperlink ref="C200" r:id="rId65" location="/router?komponent=taotlus&amp;id=901758&amp;kuva=ava" display="https://pms.arib.pria.ee/pms-menetlus/ - /router?komponent=taotlus&amp;id=901758&amp;kuva=ava"/>
    <hyperlink ref="C201" r:id="rId66" location="/router?komponent=taotlus&amp;id=903808&amp;kuva=ava" display="https://pms.arib.pria.ee/pms-menetlus/ - /router?komponent=taotlus&amp;id=903808&amp;kuva=ava"/>
    <hyperlink ref="C202" r:id="rId67" location="/router?komponent=taotlus&amp;id=903426&amp;kuva=ava" display="https://pms.arib.pria.ee/pms-menetlus/ - /router?komponent=taotlus&amp;id=903426&amp;kuva=ava"/>
    <hyperlink ref="C203" r:id="rId68" location="/router?komponent=taotlus&amp;id=904866&amp;kuva=ava" display="https://pms.arib.pria.ee/pms-menetlus/ - /router?komponent=taotlus&amp;id=904866&amp;kuva=ava"/>
    <hyperlink ref="C204" r:id="rId69" location="/router?komponent=taotlus&amp;id=903337&amp;kuva=ava" display="https://pms.arib.pria.ee/pms-menetlus/ - /router?komponent=taotlus&amp;id=903337&amp;kuva=ava"/>
    <hyperlink ref="C205" r:id="rId70" location="/router?komponent=taotlus&amp;id=904488&amp;kuva=ava" display="https://pms.arib.pria.ee/pms-menetlus/ - /router?komponent=taotlus&amp;id=904488&amp;kuva=ava"/>
    <hyperlink ref="C206" r:id="rId71" location="/router?komponent=taotlus&amp;id=904963&amp;kuva=ava" display="https://pms.arib.pria.ee/pms-menetlus/ - /router?komponent=taotlus&amp;id=904963&amp;kuva=ava"/>
    <hyperlink ref="C207" r:id="rId72" location="/router?komponent=taotlus&amp;id=902647&amp;kuva=ava" display="https://pms.arib.pria.ee/pms-menetlus/ - /router?komponent=taotlus&amp;id=902647&amp;kuva=ava"/>
    <hyperlink ref="C208" r:id="rId73" location="/router?komponent=taotlus&amp;id=904583&amp;kuva=ava" display="https://pms.arib.pria.ee/pms-menetlus/ - /router?komponent=taotlus&amp;id=904583&amp;kuva=ava"/>
    <hyperlink ref="C209" r:id="rId74" location="/router?komponent=taotlus&amp;id=901362&amp;kuva=ava" display="https://pms.arib.pria.ee/pms-menetlus/ - /router?komponent=taotlus&amp;id=901362&amp;kuva=ava"/>
    <hyperlink ref="C210" r:id="rId75" location="/router?komponent=taotlus&amp;id=903535&amp;kuva=ava" display="https://pms.arib.pria.ee/pms-menetlus/ - /router?komponent=taotlus&amp;id=903535&amp;kuva=ava"/>
  </hyperlinks>
  <pageMargins left="0.7" right="0.7" top="0.75" bottom="0.75" header="0.3" footer="0.3"/>
  <pageSetup paperSize="9" orientation="portrait" r:id="rId7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workbookViewId="0">
      <pane ySplit="2" topLeftCell="A188" activePane="bottomLeft" state="frozen"/>
      <selection pane="bottomLeft" activeCell="K208" sqref="K208:L208"/>
    </sheetView>
  </sheetViews>
  <sheetFormatPr defaultRowHeight="15" x14ac:dyDescent="0.25"/>
  <cols>
    <col min="1" max="1" width="21.85546875" customWidth="1"/>
    <col min="2" max="2" width="37.85546875" customWidth="1"/>
    <col min="3" max="3" width="22.5703125" customWidth="1"/>
    <col min="4" max="4" width="15.140625" customWidth="1"/>
    <col min="5" max="5" width="17.85546875" customWidth="1"/>
  </cols>
  <sheetData>
    <row r="1" spans="1:5" ht="15.75" x14ac:dyDescent="0.25">
      <c r="A1" s="847" t="s">
        <v>16</v>
      </c>
      <c r="B1" s="848"/>
      <c r="C1" s="848"/>
      <c r="D1" s="848"/>
      <c r="E1" s="849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78" t="s">
        <v>456</v>
      </c>
      <c r="B3" s="79" t="s">
        <v>429</v>
      </c>
      <c r="C3" s="65" t="str">
        <f>"619216371164"</f>
        <v>619216371164</v>
      </c>
      <c r="D3" s="89">
        <v>41.417000000000002</v>
      </c>
      <c r="E3" s="39" t="s">
        <v>419</v>
      </c>
    </row>
    <row r="4" spans="1:5" x14ac:dyDescent="0.25">
      <c r="A4" s="80" t="s">
        <v>456</v>
      </c>
      <c r="B4" s="75" t="s">
        <v>429</v>
      </c>
      <c r="C4" s="27" t="str">
        <f>"619216371166"</f>
        <v>619216371166</v>
      </c>
      <c r="D4" s="8">
        <v>40.832999999999998</v>
      </c>
      <c r="E4" s="41" t="s">
        <v>419</v>
      </c>
    </row>
    <row r="5" spans="1:5" x14ac:dyDescent="0.25">
      <c r="A5" s="80" t="s">
        <v>456</v>
      </c>
      <c r="B5" s="75" t="s">
        <v>429</v>
      </c>
      <c r="C5" s="27" t="str">
        <f>"619216371193"</f>
        <v>619216371193</v>
      </c>
      <c r="D5" s="8">
        <v>36</v>
      </c>
      <c r="E5" s="41" t="s">
        <v>419</v>
      </c>
    </row>
    <row r="6" spans="1:5" x14ac:dyDescent="0.25">
      <c r="A6" s="80" t="s">
        <v>456</v>
      </c>
      <c r="B6" s="75" t="s">
        <v>429</v>
      </c>
      <c r="C6" s="27" t="str">
        <f>"619216371172"</f>
        <v>619216371172</v>
      </c>
      <c r="D6" s="8">
        <v>33.667000000000002</v>
      </c>
      <c r="E6" s="41" t="s">
        <v>419</v>
      </c>
    </row>
    <row r="7" spans="1:5" x14ac:dyDescent="0.25">
      <c r="A7" s="80" t="s">
        <v>456</v>
      </c>
      <c r="B7" s="75" t="s">
        <v>429</v>
      </c>
      <c r="C7" s="27" t="str">
        <f>"619216371173"</f>
        <v>619216371173</v>
      </c>
      <c r="D7" s="8">
        <v>33.5</v>
      </c>
      <c r="E7" s="41" t="s">
        <v>419</v>
      </c>
    </row>
    <row r="8" spans="1:5" x14ac:dyDescent="0.25">
      <c r="A8" s="80" t="s">
        <v>456</v>
      </c>
      <c r="B8" s="75" t="s">
        <v>429</v>
      </c>
      <c r="C8" s="27" t="str">
        <f>"619216371185"</f>
        <v>619216371185</v>
      </c>
      <c r="D8" s="8">
        <v>29.25</v>
      </c>
      <c r="E8" s="66" t="s">
        <v>420</v>
      </c>
    </row>
    <row r="9" spans="1:5" x14ac:dyDescent="0.25">
      <c r="A9" s="80" t="s">
        <v>456</v>
      </c>
      <c r="B9" s="75" t="s">
        <v>429</v>
      </c>
      <c r="C9" s="27" t="str">
        <f>"619216371187"</f>
        <v>619216371187</v>
      </c>
      <c r="D9" s="8">
        <v>27.667000000000002</v>
      </c>
      <c r="E9" s="66" t="s">
        <v>420</v>
      </c>
    </row>
    <row r="10" spans="1:5" x14ac:dyDescent="0.25">
      <c r="A10" s="80" t="s">
        <v>456</v>
      </c>
      <c r="B10" s="75" t="s">
        <v>429</v>
      </c>
      <c r="C10" s="27" t="str">
        <f>"619216371171"</f>
        <v>619216371171</v>
      </c>
      <c r="D10" s="8">
        <v>26.25</v>
      </c>
      <c r="E10" s="66" t="s">
        <v>420</v>
      </c>
    </row>
    <row r="11" spans="1:5" x14ac:dyDescent="0.25">
      <c r="A11" s="80" t="s">
        <v>456</v>
      </c>
      <c r="B11" s="75" t="s">
        <v>429</v>
      </c>
      <c r="C11" s="27" t="str">
        <f>"619216371165"</f>
        <v>619216371165</v>
      </c>
      <c r="D11" s="8">
        <v>26.25</v>
      </c>
      <c r="E11" s="66" t="s">
        <v>420</v>
      </c>
    </row>
    <row r="12" spans="1:5" ht="15.75" thickBot="1" x14ac:dyDescent="0.3">
      <c r="A12" s="81" t="s">
        <v>456</v>
      </c>
      <c r="B12" s="85" t="s">
        <v>429</v>
      </c>
      <c r="C12" s="63" t="str">
        <f>"619216371182"</f>
        <v>619216371182</v>
      </c>
      <c r="D12" s="90">
        <v>23.582999999999998</v>
      </c>
      <c r="E12" s="46" t="s">
        <v>420</v>
      </c>
    </row>
    <row r="13" spans="1:5" x14ac:dyDescent="0.25">
      <c r="A13" s="78" t="s">
        <v>456</v>
      </c>
      <c r="B13" s="83" t="s">
        <v>430</v>
      </c>
      <c r="C13" s="65" t="str">
        <f>"619216371163"</f>
        <v>619216371163</v>
      </c>
      <c r="D13" s="89">
        <v>41.25</v>
      </c>
      <c r="E13" s="39" t="s">
        <v>419</v>
      </c>
    </row>
    <row r="14" spans="1:5" x14ac:dyDescent="0.25">
      <c r="A14" s="80" t="s">
        <v>456</v>
      </c>
      <c r="B14" s="77" t="s">
        <v>430</v>
      </c>
      <c r="C14" s="27" t="str">
        <f>"619216371183"</f>
        <v>619216371183</v>
      </c>
      <c r="D14" s="8">
        <v>36.082999999999998</v>
      </c>
      <c r="E14" s="41" t="s">
        <v>419</v>
      </c>
    </row>
    <row r="15" spans="1:5" x14ac:dyDescent="0.25">
      <c r="A15" s="80" t="s">
        <v>456</v>
      </c>
      <c r="B15" s="77" t="s">
        <v>430</v>
      </c>
      <c r="C15" s="27" t="str">
        <f>"619216371175"</f>
        <v>619216371175</v>
      </c>
      <c r="D15" s="8">
        <v>35.25</v>
      </c>
      <c r="E15" s="41" t="s">
        <v>419</v>
      </c>
    </row>
    <row r="16" spans="1:5" x14ac:dyDescent="0.25">
      <c r="A16" s="80" t="s">
        <v>456</v>
      </c>
      <c r="B16" s="77" t="s">
        <v>430</v>
      </c>
      <c r="C16" s="27" t="str">
        <f>"619216371168"</f>
        <v>619216371168</v>
      </c>
      <c r="D16" s="8">
        <v>34.75</v>
      </c>
      <c r="E16" s="41" t="s">
        <v>419</v>
      </c>
    </row>
    <row r="17" spans="1:5" x14ac:dyDescent="0.25">
      <c r="A17" s="80" t="s">
        <v>456</v>
      </c>
      <c r="B17" s="77" t="s">
        <v>430</v>
      </c>
      <c r="C17" s="27" t="str">
        <f>"619216371180"</f>
        <v>619216371180</v>
      </c>
      <c r="D17" s="8">
        <v>34.667000000000002</v>
      </c>
      <c r="E17" s="41" t="s">
        <v>419</v>
      </c>
    </row>
    <row r="18" spans="1:5" x14ac:dyDescent="0.25">
      <c r="A18" s="80" t="s">
        <v>456</v>
      </c>
      <c r="B18" s="77" t="s">
        <v>430</v>
      </c>
      <c r="C18" s="27" t="str">
        <f>"619216371190"</f>
        <v>619216371190</v>
      </c>
      <c r="D18" s="8">
        <v>29.5</v>
      </c>
      <c r="E18" s="66" t="s">
        <v>420</v>
      </c>
    </row>
    <row r="19" spans="1:5" x14ac:dyDescent="0.25">
      <c r="A19" s="80" t="s">
        <v>456</v>
      </c>
      <c r="B19" s="77" t="s">
        <v>430</v>
      </c>
      <c r="C19" s="27" t="str">
        <f>"619216371181"</f>
        <v>619216371181</v>
      </c>
      <c r="D19" s="8">
        <v>28.917000000000002</v>
      </c>
      <c r="E19" s="66" t="s">
        <v>420</v>
      </c>
    </row>
    <row r="20" spans="1:5" x14ac:dyDescent="0.25">
      <c r="A20" s="80" t="s">
        <v>456</v>
      </c>
      <c r="B20" s="77" t="s">
        <v>430</v>
      </c>
      <c r="C20" s="27" t="str">
        <f>"619216371162"</f>
        <v>619216371162</v>
      </c>
      <c r="D20" s="8">
        <v>28.332999999999998</v>
      </c>
      <c r="E20" s="66" t="s">
        <v>420</v>
      </c>
    </row>
    <row r="21" spans="1:5" x14ac:dyDescent="0.25">
      <c r="A21" s="80" t="s">
        <v>456</v>
      </c>
      <c r="B21" s="77" t="s">
        <v>430</v>
      </c>
      <c r="C21" s="27" t="str">
        <f>"619216371186"</f>
        <v>619216371186</v>
      </c>
      <c r="D21" s="8">
        <v>27.917000000000002</v>
      </c>
      <c r="E21" s="66" t="s">
        <v>420</v>
      </c>
    </row>
    <row r="22" spans="1:5" x14ac:dyDescent="0.25">
      <c r="A22" s="80" t="s">
        <v>456</v>
      </c>
      <c r="B22" s="77" t="s">
        <v>430</v>
      </c>
      <c r="C22" s="27" t="str">
        <f>"619216371179"</f>
        <v>619216371179</v>
      </c>
      <c r="D22" s="8">
        <v>25.167000000000002</v>
      </c>
      <c r="E22" s="66" t="s">
        <v>420</v>
      </c>
    </row>
    <row r="23" spans="1:5" x14ac:dyDescent="0.25">
      <c r="A23" s="80" t="s">
        <v>456</v>
      </c>
      <c r="B23" s="77" t="s">
        <v>430</v>
      </c>
      <c r="C23" s="27" t="str">
        <f>"619216371191"</f>
        <v>619216371191</v>
      </c>
      <c r="D23" s="8">
        <v>24.75</v>
      </c>
      <c r="E23" s="66" t="s">
        <v>420</v>
      </c>
    </row>
    <row r="24" spans="1:5" x14ac:dyDescent="0.25">
      <c r="A24" s="80" t="s">
        <v>456</v>
      </c>
      <c r="B24" s="77" t="s">
        <v>430</v>
      </c>
      <c r="C24" s="27" t="str">
        <f>"619216371178"</f>
        <v>619216371178</v>
      </c>
      <c r="D24" s="8">
        <v>23.832999999999998</v>
      </c>
      <c r="E24" s="66" t="s">
        <v>420</v>
      </c>
    </row>
    <row r="25" spans="1:5" x14ac:dyDescent="0.25">
      <c r="A25" s="80" t="s">
        <v>456</v>
      </c>
      <c r="B25" s="77" t="s">
        <v>430</v>
      </c>
      <c r="C25" s="27" t="str">
        <f>"619216371189"</f>
        <v>619216371189</v>
      </c>
      <c r="D25" s="8">
        <v>23.332999999999998</v>
      </c>
      <c r="E25" s="66" t="s">
        <v>420</v>
      </c>
    </row>
    <row r="26" spans="1:5" x14ac:dyDescent="0.25">
      <c r="A26" s="80" t="s">
        <v>456</v>
      </c>
      <c r="B26" s="77" t="s">
        <v>430</v>
      </c>
      <c r="C26" s="27" t="str">
        <f>"619216371192"</f>
        <v>619216371192</v>
      </c>
      <c r="D26" s="19">
        <v>23.082999999999998</v>
      </c>
      <c r="E26" s="66" t="s">
        <v>420</v>
      </c>
    </row>
    <row r="27" spans="1:5" x14ac:dyDescent="0.25">
      <c r="A27" s="80" t="s">
        <v>456</v>
      </c>
      <c r="B27" s="77" t="s">
        <v>430</v>
      </c>
      <c r="C27" s="27" t="str">
        <f>"619216371169"</f>
        <v>619216371169</v>
      </c>
      <c r="D27" s="19">
        <v>22.082999999999998</v>
      </c>
      <c r="E27" s="66" t="s">
        <v>420</v>
      </c>
    </row>
    <row r="28" spans="1:5" x14ac:dyDescent="0.25">
      <c r="A28" s="80" t="s">
        <v>456</v>
      </c>
      <c r="B28" s="77" t="s">
        <v>430</v>
      </c>
      <c r="C28" s="27" t="str">
        <f>"619216371177"</f>
        <v>619216371177</v>
      </c>
      <c r="D28" s="19">
        <v>20.167000000000002</v>
      </c>
      <c r="E28" s="66" t="s">
        <v>420</v>
      </c>
    </row>
    <row r="29" spans="1:5" ht="15.75" thickBot="1" x14ac:dyDescent="0.3">
      <c r="A29" s="81" t="s">
        <v>456</v>
      </c>
      <c r="B29" s="84" t="s">
        <v>430</v>
      </c>
      <c r="C29" s="63" t="str">
        <f>"619216371170"</f>
        <v>619216371170</v>
      </c>
      <c r="D29" s="125">
        <v>19.582999999999998</v>
      </c>
      <c r="E29" s="46" t="s">
        <v>420</v>
      </c>
    </row>
    <row r="30" spans="1:5" x14ac:dyDescent="0.25">
      <c r="A30" s="78" t="s">
        <v>456</v>
      </c>
      <c r="B30" s="83" t="s">
        <v>457</v>
      </c>
      <c r="C30" s="65" t="str">
        <f>"619216371167"</f>
        <v>619216371167</v>
      </c>
      <c r="D30" s="150">
        <v>38.200000000000003</v>
      </c>
      <c r="E30" s="39" t="s">
        <v>419</v>
      </c>
    </row>
    <row r="31" spans="1:5" x14ac:dyDescent="0.25">
      <c r="A31" s="80" t="s">
        <v>456</v>
      </c>
      <c r="B31" s="77" t="s">
        <v>457</v>
      </c>
      <c r="C31" s="27" t="str">
        <f>"619216371188"</f>
        <v>619216371188</v>
      </c>
      <c r="D31" s="19">
        <v>31.3</v>
      </c>
      <c r="E31" s="41" t="s">
        <v>419</v>
      </c>
    </row>
    <row r="32" spans="1:5" x14ac:dyDescent="0.25">
      <c r="A32" s="80" t="s">
        <v>456</v>
      </c>
      <c r="B32" s="77" t="s">
        <v>457</v>
      </c>
      <c r="C32" s="27" t="str">
        <f>"619216371184"</f>
        <v>619216371184</v>
      </c>
      <c r="D32" s="19">
        <v>29.2</v>
      </c>
      <c r="E32" s="66" t="s">
        <v>420</v>
      </c>
    </row>
    <row r="33" spans="1:5" x14ac:dyDescent="0.25">
      <c r="A33" s="80" t="s">
        <v>456</v>
      </c>
      <c r="B33" s="77" t="s">
        <v>457</v>
      </c>
      <c r="C33" s="27" t="str">
        <f>"619216371174"</f>
        <v>619216371174</v>
      </c>
      <c r="D33" s="19">
        <v>29</v>
      </c>
      <c r="E33" s="66" t="s">
        <v>420</v>
      </c>
    </row>
    <row r="34" spans="1:5" ht="15.75" thickBot="1" x14ac:dyDescent="0.3">
      <c r="A34" s="81" t="s">
        <v>456</v>
      </c>
      <c r="B34" s="84" t="s">
        <v>457</v>
      </c>
      <c r="C34" s="63" t="str">
        <f>"619216371176"</f>
        <v>619216371176</v>
      </c>
      <c r="D34" s="125">
        <v>23.332999999999998</v>
      </c>
      <c r="E34" s="46" t="s">
        <v>420</v>
      </c>
    </row>
    <row r="35" spans="1:5" ht="15.75" thickBot="1" x14ac:dyDescent="0.3">
      <c r="A35" s="394" t="s">
        <v>746</v>
      </c>
      <c r="B35" s="77" t="s">
        <v>430</v>
      </c>
      <c r="C35" s="2" t="str">
        <f>"619217372153"</f>
        <v>619217372153</v>
      </c>
      <c r="D35" s="2">
        <v>18.5</v>
      </c>
      <c r="E35" s="46" t="s">
        <v>420</v>
      </c>
    </row>
    <row r="36" spans="1:5" ht="15.75" thickBot="1" x14ac:dyDescent="0.3">
      <c r="A36" s="394" t="s">
        <v>746</v>
      </c>
      <c r="B36" s="77" t="s">
        <v>430</v>
      </c>
      <c r="C36" s="2" t="str">
        <f>"619217372155"</f>
        <v>619217372155</v>
      </c>
      <c r="D36" s="2">
        <v>24.4</v>
      </c>
      <c r="E36" s="46" t="s">
        <v>420</v>
      </c>
    </row>
    <row r="37" spans="1:5" ht="15.75" thickBot="1" x14ac:dyDescent="0.3">
      <c r="A37" s="394" t="s">
        <v>746</v>
      </c>
      <c r="B37" s="77" t="s">
        <v>430</v>
      </c>
      <c r="C37" s="2" t="str">
        <f>"619217372150"</f>
        <v>619217372150</v>
      </c>
      <c r="D37" s="2">
        <v>25</v>
      </c>
      <c r="E37" s="46" t="s">
        <v>420</v>
      </c>
    </row>
    <row r="38" spans="1:5" ht="15.75" thickBot="1" x14ac:dyDescent="0.3">
      <c r="A38" s="394" t="s">
        <v>746</v>
      </c>
      <c r="B38" s="77" t="s">
        <v>430</v>
      </c>
      <c r="C38" s="2" t="str">
        <f>"619217372154"</f>
        <v>619217372154</v>
      </c>
      <c r="D38" s="2">
        <v>26.3</v>
      </c>
      <c r="E38" s="46" t="s">
        <v>420</v>
      </c>
    </row>
    <row r="39" spans="1:5" ht="15.75" thickBot="1" x14ac:dyDescent="0.3">
      <c r="A39" s="394" t="s">
        <v>746</v>
      </c>
      <c r="B39" s="77" t="s">
        <v>430</v>
      </c>
      <c r="C39" s="2" t="str">
        <f>"619217372152"</f>
        <v>619217372152</v>
      </c>
      <c r="D39" s="2">
        <v>27.1</v>
      </c>
      <c r="E39" s="46" t="s">
        <v>420</v>
      </c>
    </row>
    <row r="40" spans="1:5" ht="15.75" thickBot="1" x14ac:dyDescent="0.3">
      <c r="A40" s="394" t="s">
        <v>746</v>
      </c>
      <c r="B40" s="77" t="s">
        <v>430</v>
      </c>
      <c r="C40" s="2" t="str">
        <f>"619217372151"</f>
        <v>619217372151</v>
      </c>
      <c r="D40" s="2">
        <v>27.4</v>
      </c>
      <c r="E40" s="46" t="s">
        <v>420</v>
      </c>
    </row>
    <row r="41" spans="1:5" ht="15.75" thickBot="1" x14ac:dyDescent="0.3">
      <c r="A41" s="394" t="s">
        <v>746</v>
      </c>
      <c r="B41" s="77" t="s">
        <v>430</v>
      </c>
      <c r="C41" s="2" t="str">
        <f>"619217372130"</f>
        <v>619217372130</v>
      </c>
      <c r="D41" s="2">
        <v>27.6</v>
      </c>
      <c r="E41" s="46" t="s">
        <v>420</v>
      </c>
    </row>
    <row r="42" spans="1:5" ht="15.75" thickBot="1" x14ac:dyDescent="0.3">
      <c r="A42" s="5" t="s">
        <v>747</v>
      </c>
      <c r="B42" s="77" t="s">
        <v>430</v>
      </c>
      <c r="C42" s="2" t="str">
        <f>"619217372149"</f>
        <v>619217372149</v>
      </c>
      <c r="D42" s="2">
        <v>28.1</v>
      </c>
      <c r="E42" s="39" t="s">
        <v>419</v>
      </c>
    </row>
    <row r="43" spans="1:5" ht="15.75" thickBot="1" x14ac:dyDescent="0.3">
      <c r="A43" s="5" t="s">
        <v>747</v>
      </c>
      <c r="B43" s="77" t="s">
        <v>430</v>
      </c>
      <c r="C43" s="2" t="str">
        <f>"619217372148"</f>
        <v>619217372148</v>
      </c>
      <c r="D43" s="2">
        <v>28.2</v>
      </c>
      <c r="E43" s="39" t="s">
        <v>419</v>
      </c>
    </row>
    <row r="44" spans="1:5" ht="15.75" thickBot="1" x14ac:dyDescent="0.3">
      <c r="A44" s="5" t="s">
        <v>747</v>
      </c>
      <c r="B44" s="77" t="s">
        <v>430</v>
      </c>
      <c r="C44" s="2" t="str">
        <f>"619217372140"</f>
        <v>619217372140</v>
      </c>
      <c r="D44" s="2">
        <v>28.7</v>
      </c>
      <c r="E44" s="39" t="s">
        <v>419</v>
      </c>
    </row>
    <row r="45" spans="1:5" ht="15.75" thickBot="1" x14ac:dyDescent="0.3">
      <c r="A45" s="5" t="s">
        <v>747</v>
      </c>
      <c r="B45" s="77" t="s">
        <v>430</v>
      </c>
      <c r="C45" s="2" t="str">
        <f>"619217372147"</f>
        <v>619217372147</v>
      </c>
      <c r="D45" s="2">
        <v>29.2</v>
      </c>
      <c r="E45" s="39" t="s">
        <v>419</v>
      </c>
    </row>
    <row r="46" spans="1:5" ht="15.75" thickBot="1" x14ac:dyDescent="0.3">
      <c r="A46" s="5" t="s">
        <v>747</v>
      </c>
      <c r="B46" s="77" t="s">
        <v>430</v>
      </c>
      <c r="C46" s="2" t="str">
        <f>"619217372146"</f>
        <v>619217372146</v>
      </c>
      <c r="D46" s="2">
        <v>30</v>
      </c>
      <c r="E46" s="39" t="s">
        <v>419</v>
      </c>
    </row>
    <row r="47" spans="1:5" ht="15.75" thickBot="1" x14ac:dyDescent="0.3">
      <c r="A47" s="5" t="s">
        <v>747</v>
      </c>
      <c r="B47" s="77" t="s">
        <v>430</v>
      </c>
      <c r="C47" s="2" t="str">
        <f>"619217372145"</f>
        <v>619217372145</v>
      </c>
      <c r="D47" s="2">
        <v>30.1</v>
      </c>
      <c r="E47" s="39" t="s">
        <v>419</v>
      </c>
    </row>
    <row r="48" spans="1:5" ht="15.75" thickBot="1" x14ac:dyDescent="0.3">
      <c r="A48" s="5" t="s">
        <v>747</v>
      </c>
      <c r="B48" s="77" t="s">
        <v>430</v>
      </c>
      <c r="C48" s="2" t="str">
        <f>"619217372144"</f>
        <v>619217372144</v>
      </c>
      <c r="D48" s="2">
        <v>30.1</v>
      </c>
      <c r="E48" s="39" t="s">
        <v>419</v>
      </c>
    </row>
    <row r="49" spans="1:5" ht="15.75" thickBot="1" x14ac:dyDescent="0.3">
      <c r="A49" s="5" t="s">
        <v>747</v>
      </c>
      <c r="B49" s="77" t="s">
        <v>430</v>
      </c>
      <c r="C49" s="2" t="str">
        <f>"619217372143"</f>
        <v>619217372143</v>
      </c>
      <c r="D49" s="2">
        <v>30.2</v>
      </c>
      <c r="E49" s="39" t="s">
        <v>419</v>
      </c>
    </row>
    <row r="50" spans="1:5" ht="15.75" thickBot="1" x14ac:dyDescent="0.3">
      <c r="A50" s="5" t="s">
        <v>747</v>
      </c>
      <c r="B50" s="77" t="s">
        <v>430</v>
      </c>
      <c r="C50" s="2" t="str">
        <f>"619217372142"</f>
        <v>619217372142</v>
      </c>
      <c r="D50" s="2">
        <v>33.299999999999997</v>
      </c>
      <c r="E50" s="39" t="s">
        <v>419</v>
      </c>
    </row>
    <row r="51" spans="1:5" ht="15.75" thickBot="1" x14ac:dyDescent="0.3">
      <c r="A51" s="5" t="s">
        <v>747</v>
      </c>
      <c r="B51" s="77" t="s">
        <v>430</v>
      </c>
      <c r="C51" s="2" t="str">
        <f>"619217372141"</f>
        <v>619217372141</v>
      </c>
      <c r="D51" s="2">
        <v>34.700000000000003</v>
      </c>
      <c r="E51" s="39" t="s">
        <v>419</v>
      </c>
    </row>
    <row r="52" spans="1:5" ht="15.75" thickBot="1" x14ac:dyDescent="0.3">
      <c r="A52" s="5" t="s">
        <v>747</v>
      </c>
      <c r="B52" s="77" t="s">
        <v>457</v>
      </c>
      <c r="C52" s="2" t="str">
        <f>"619217372139"</f>
        <v>619217372139</v>
      </c>
      <c r="D52" s="2">
        <v>25.5</v>
      </c>
      <c r="E52" s="39" t="s">
        <v>419</v>
      </c>
    </row>
    <row r="53" spans="1:5" ht="15.75" thickBot="1" x14ac:dyDescent="0.3">
      <c r="A53" s="5" t="s">
        <v>747</v>
      </c>
      <c r="B53" s="77" t="s">
        <v>457</v>
      </c>
      <c r="C53" s="2" t="str">
        <f>"619217372138"</f>
        <v>619217372138</v>
      </c>
      <c r="D53" s="2">
        <v>27.6</v>
      </c>
      <c r="E53" s="39" t="s">
        <v>419</v>
      </c>
    </row>
    <row r="54" spans="1:5" ht="15.75" thickBot="1" x14ac:dyDescent="0.3">
      <c r="A54" s="5" t="s">
        <v>747</v>
      </c>
      <c r="B54" s="77" t="s">
        <v>457</v>
      </c>
      <c r="C54" s="2" t="str">
        <f>"619217372137"</f>
        <v>619217372137</v>
      </c>
      <c r="D54" s="2">
        <v>28.6</v>
      </c>
      <c r="E54" s="39" t="s">
        <v>419</v>
      </c>
    </row>
    <row r="55" spans="1:5" ht="15.75" thickBot="1" x14ac:dyDescent="0.3">
      <c r="A55" s="5" t="s">
        <v>747</v>
      </c>
      <c r="B55" s="77" t="s">
        <v>457</v>
      </c>
      <c r="C55" s="2" t="str">
        <f>"619217372131"</f>
        <v>619217372131</v>
      </c>
      <c r="D55" s="2">
        <v>28.9</v>
      </c>
      <c r="E55" s="39" t="s">
        <v>419</v>
      </c>
    </row>
    <row r="56" spans="1:5" ht="15.75" thickBot="1" x14ac:dyDescent="0.3">
      <c r="A56" s="5" t="s">
        <v>747</v>
      </c>
      <c r="B56" s="77" t="s">
        <v>457</v>
      </c>
      <c r="C56" s="2" t="str">
        <f>"619217372134"</f>
        <v>619217372134</v>
      </c>
      <c r="D56" s="2">
        <v>31.8</v>
      </c>
      <c r="E56" s="39" t="s">
        <v>419</v>
      </c>
    </row>
    <row r="57" spans="1:5" ht="15.75" thickBot="1" x14ac:dyDescent="0.3">
      <c r="A57" s="5" t="s">
        <v>747</v>
      </c>
      <c r="B57" s="77" t="s">
        <v>457</v>
      </c>
      <c r="C57" s="2" t="str">
        <f>"619217372132"</f>
        <v>619217372132</v>
      </c>
      <c r="D57" s="2">
        <v>33.4</v>
      </c>
      <c r="E57" s="39" t="s">
        <v>419</v>
      </c>
    </row>
    <row r="58" spans="1:5" ht="15.75" thickBot="1" x14ac:dyDescent="0.3">
      <c r="A58" s="5" t="s">
        <v>747</v>
      </c>
      <c r="B58" s="77" t="s">
        <v>457</v>
      </c>
      <c r="C58" s="2" t="str">
        <f>"619217372135"</f>
        <v>619217372135</v>
      </c>
      <c r="D58" s="2">
        <v>33.9</v>
      </c>
      <c r="E58" s="39" t="s">
        <v>419</v>
      </c>
    </row>
    <row r="59" spans="1:5" x14ac:dyDescent="0.25">
      <c r="A59" s="106" t="s">
        <v>747</v>
      </c>
      <c r="B59" s="488" t="s">
        <v>457</v>
      </c>
      <c r="C59" s="179" t="str">
        <f>"619217372136"</f>
        <v>619217372136</v>
      </c>
      <c r="D59" s="179">
        <v>37.6</v>
      </c>
      <c r="E59" s="333" t="s">
        <v>419</v>
      </c>
    </row>
    <row r="60" spans="1:5" ht="15.75" thickBot="1" x14ac:dyDescent="0.3">
      <c r="A60" s="44" t="s">
        <v>747</v>
      </c>
      <c r="B60" s="84" t="s">
        <v>457</v>
      </c>
      <c r="C60" s="51" t="str">
        <f>"619217372133"</f>
        <v>619217372133</v>
      </c>
      <c r="D60" s="51">
        <v>40.4</v>
      </c>
      <c r="E60" s="87" t="s">
        <v>419</v>
      </c>
    </row>
    <row r="61" spans="1:5" x14ac:dyDescent="0.25">
      <c r="A61" s="86" t="s">
        <v>919</v>
      </c>
      <c r="B61" s="86" t="s">
        <v>429</v>
      </c>
      <c r="C61" s="86" t="s">
        <v>920</v>
      </c>
      <c r="D61" s="86">
        <v>34.4</v>
      </c>
      <c r="E61" s="233" t="s">
        <v>419</v>
      </c>
    </row>
    <row r="62" spans="1:5" x14ac:dyDescent="0.25">
      <c r="A62" s="2" t="s">
        <v>919</v>
      </c>
      <c r="B62" s="2" t="s">
        <v>429</v>
      </c>
      <c r="C62" s="2" t="s">
        <v>921</v>
      </c>
      <c r="D62" s="2">
        <v>31.3</v>
      </c>
      <c r="E62" s="225" t="s">
        <v>419</v>
      </c>
    </row>
    <row r="63" spans="1:5" x14ac:dyDescent="0.25">
      <c r="A63" s="2" t="s">
        <v>919</v>
      </c>
      <c r="B63" s="2" t="s">
        <v>429</v>
      </c>
      <c r="C63" s="2" t="s">
        <v>922</v>
      </c>
      <c r="D63" s="2">
        <v>29.5</v>
      </c>
      <c r="E63" s="225" t="s">
        <v>419</v>
      </c>
    </row>
    <row r="64" spans="1:5" x14ac:dyDescent="0.25">
      <c r="A64" s="2" t="s">
        <v>919</v>
      </c>
      <c r="B64" s="2" t="s">
        <v>429</v>
      </c>
      <c r="C64" s="2" t="s">
        <v>923</v>
      </c>
      <c r="D64" s="2">
        <v>26.4</v>
      </c>
      <c r="E64" s="225" t="s">
        <v>419</v>
      </c>
    </row>
    <row r="65" spans="1:5" x14ac:dyDescent="0.25">
      <c r="A65" s="2" t="s">
        <v>919</v>
      </c>
      <c r="B65" s="2" t="s">
        <v>429</v>
      </c>
      <c r="C65" s="2" t="s">
        <v>924</v>
      </c>
      <c r="D65" s="2">
        <v>26.2</v>
      </c>
      <c r="E65" s="225" t="s">
        <v>419</v>
      </c>
    </row>
    <row r="66" spans="1:5" x14ac:dyDescent="0.25">
      <c r="A66" s="2" t="s">
        <v>919</v>
      </c>
      <c r="B66" s="2" t="s">
        <v>429</v>
      </c>
      <c r="C66" s="2" t="s">
        <v>925</v>
      </c>
      <c r="D66" s="2" t="s">
        <v>1061</v>
      </c>
      <c r="E66" s="226" t="s">
        <v>420</v>
      </c>
    </row>
    <row r="67" spans="1:5" x14ac:dyDescent="0.25">
      <c r="A67" s="2" t="s">
        <v>919</v>
      </c>
      <c r="B67" s="2" t="s">
        <v>429</v>
      </c>
      <c r="C67" s="2" t="s">
        <v>926</v>
      </c>
      <c r="D67" s="2" t="s">
        <v>1061</v>
      </c>
      <c r="E67" s="226" t="s">
        <v>420</v>
      </c>
    </row>
    <row r="68" spans="1:5" x14ac:dyDescent="0.25">
      <c r="A68" s="2" t="s">
        <v>919</v>
      </c>
      <c r="B68" s="2" t="s">
        <v>429</v>
      </c>
      <c r="C68" s="2" t="s">
        <v>927</v>
      </c>
      <c r="D68" s="2" t="s">
        <v>929</v>
      </c>
      <c r="E68" s="226" t="s">
        <v>420</v>
      </c>
    </row>
    <row r="69" spans="1:5" ht="15.75" thickBot="1" x14ac:dyDescent="0.3">
      <c r="A69" s="51" t="s">
        <v>919</v>
      </c>
      <c r="B69" s="51" t="s">
        <v>429</v>
      </c>
      <c r="C69" s="51" t="s">
        <v>928</v>
      </c>
      <c r="D69" s="179" t="s">
        <v>929</v>
      </c>
      <c r="E69" s="234" t="s">
        <v>420</v>
      </c>
    </row>
    <row r="70" spans="1:5" x14ac:dyDescent="0.25">
      <c r="A70" s="598" t="s">
        <v>1086</v>
      </c>
      <c r="B70" s="26" t="s">
        <v>457</v>
      </c>
      <c r="C70" s="581">
        <v>619217373641</v>
      </c>
      <c r="D70" s="2">
        <v>34</v>
      </c>
      <c r="E70" s="233" t="s">
        <v>419</v>
      </c>
    </row>
    <row r="71" spans="1:5" x14ac:dyDescent="0.25">
      <c r="A71" s="598" t="s">
        <v>1086</v>
      </c>
      <c r="B71" s="26" t="s">
        <v>457</v>
      </c>
      <c r="C71" s="581">
        <v>619217373642</v>
      </c>
      <c r="D71" s="2">
        <v>31.7</v>
      </c>
      <c r="E71" s="225" t="s">
        <v>419</v>
      </c>
    </row>
    <row r="72" spans="1:5" x14ac:dyDescent="0.25">
      <c r="A72" s="598" t="s">
        <v>1086</v>
      </c>
      <c r="B72" s="26" t="s">
        <v>457</v>
      </c>
      <c r="C72" s="581">
        <v>619217373640</v>
      </c>
      <c r="D72" s="2">
        <v>30.4</v>
      </c>
      <c r="E72" s="225" t="s">
        <v>419</v>
      </c>
    </row>
    <row r="73" spans="1:5" x14ac:dyDescent="0.25">
      <c r="A73" s="598" t="s">
        <v>1086</v>
      </c>
      <c r="B73" s="26" t="s">
        <v>457</v>
      </c>
      <c r="C73" s="581">
        <v>619217373643</v>
      </c>
      <c r="D73" s="2">
        <v>28.4</v>
      </c>
      <c r="E73" s="225" t="s">
        <v>419</v>
      </c>
    </row>
    <row r="74" spans="1:5" x14ac:dyDescent="0.25">
      <c r="A74" s="598" t="s">
        <v>1086</v>
      </c>
      <c r="B74" s="26" t="s">
        <v>457</v>
      </c>
      <c r="C74" s="581">
        <v>619217373644</v>
      </c>
      <c r="D74" s="2">
        <v>25.5</v>
      </c>
      <c r="E74" s="225" t="s">
        <v>419</v>
      </c>
    </row>
    <row r="75" spans="1:5" x14ac:dyDescent="0.25">
      <c r="A75" s="2" t="s">
        <v>1142</v>
      </c>
      <c r="B75" s="26" t="s">
        <v>429</v>
      </c>
      <c r="C75" s="629">
        <v>19201800521</v>
      </c>
      <c r="D75" s="629">
        <v>3.61</v>
      </c>
      <c r="E75" s="225" t="s">
        <v>419</v>
      </c>
    </row>
    <row r="76" spans="1:5" x14ac:dyDescent="0.25">
      <c r="A76" s="2" t="s">
        <v>1142</v>
      </c>
      <c r="B76" s="26" t="s">
        <v>429</v>
      </c>
      <c r="C76" s="629">
        <v>19201800526</v>
      </c>
      <c r="D76" s="629">
        <v>3.39</v>
      </c>
      <c r="E76" s="225" t="s">
        <v>419</v>
      </c>
    </row>
    <row r="77" spans="1:5" x14ac:dyDescent="0.25">
      <c r="A77" s="2" t="s">
        <v>1142</v>
      </c>
      <c r="B77" s="26" t="s">
        <v>429</v>
      </c>
      <c r="C77" s="629">
        <v>19201800522</v>
      </c>
      <c r="D77" s="629">
        <v>3.05</v>
      </c>
      <c r="E77" s="225" t="s">
        <v>419</v>
      </c>
    </row>
    <row r="78" spans="1:5" x14ac:dyDescent="0.25">
      <c r="A78" s="2" t="s">
        <v>1142</v>
      </c>
      <c r="B78" s="26" t="s">
        <v>429</v>
      </c>
      <c r="C78" s="629">
        <v>19201800533</v>
      </c>
      <c r="D78" s="629">
        <v>2.56</v>
      </c>
      <c r="E78" s="225" t="s">
        <v>419</v>
      </c>
    </row>
    <row r="79" spans="1:5" x14ac:dyDescent="0.25">
      <c r="A79" s="2" t="s">
        <v>1142</v>
      </c>
      <c r="B79" s="26" t="s">
        <v>429</v>
      </c>
      <c r="C79" s="629">
        <v>19201800529</v>
      </c>
      <c r="D79" s="629" t="s">
        <v>1143</v>
      </c>
      <c r="E79" s="226" t="s">
        <v>420</v>
      </c>
    </row>
    <row r="80" spans="1:5" x14ac:dyDescent="0.25">
      <c r="A80" s="2" t="s">
        <v>1142</v>
      </c>
      <c r="B80" s="26" t="s">
        <v>429</v>
      </c>
      <c r="C80" s="629">
        <v>19201800530</v>
      </c>
      <c r="D80" s="629" t="s">
        <v>1143</v>
      </c>
      <c r="E80" s="226" t="s">
        <v>420</v>
      </c>
    </row>
    <row r="81" spans="1:5" x14ac:dyDescent="0.25">
      <c r="A81" s="2" t="s">
        <v>1142</v>
      </c>
      <c r="B81" s="26" t="s">
        <v>429</v>
      </c>
      <c r="C81" s="629">
        <v>19201800441</v>
      </c>
      <c r="D81" s="629" t="s">
        <v>1140</v>
      </c>
      <c r="E81" s="226" t="s">
        <v>420</v>
      </c>
    </row>
    <row r="82" spans="1:5" x14ac:dyDescent="0.25">
      <c r="A82" s="2" t="s">
        <v>1142</v>
      </c>
      <c r="B82" s="26" t="s">
        <v>429</v>
      </c>
      <c r="C82" s="629">
        <v>19201800525</v>
      </c>
      <c r="D82" s="629" t="s">
        <v>1140</v>
      </c>
      <c r="E82" s="226" t="s">
        <v>420</v>
      </c>
    </row>
    <row r="83" spans="1:5" x14ac:dyDescent="0.25">
      <c r="A83" s="2" t="s">
        <v>1142</v>
      </c>
      <c r="B83" s="26" t="s">
        <v>430</v>
      </c>
      <c r="C83" s="629">
        <v>19201800463</v>
      </c>
      <c r="D83" s="629">
        <v>3.61</v>
      </c>
      <c r="E83" s="225" t="s">
        <v>419</v>
      </c>
    </row>
    <row r="84" spans="1:5" x14ac:dyDescent="0.25">
      <c r="A84" s="2" t="s">
        <v>1142</v>
      </c>
      <c r="B84" s="26" t="s">
        <v>430</v>
      </c>
      <c r="C84" s="629">
        <v>19201800439</v>
      </c>
      <c r="D84" s="629">
        <v>3.57</v>
      </c>
      <c r="E84" s="225" t="s">
        <v>419</v>
      </c>
    </row>
    <row r="85" spans="1:5" x14ac:dyDescent="0.25">
      <c r="A85" s="2" t="s">
        <v>1142</v>
      </c>
      <c r="B85" s="26" t="s">
        <v>430</v>
      </c>
      <c r="C85" s="629">
        <v>19201800514</v>
      </c>
      <c r="D85" s="629">
        <v>3.42</v>
      </c>
      <c r="E85" s="225" t="s">
        <v>419</v>
      </c>
    </row>
    <row r="86" spans="1:5" x14ac:dyDescent="0.25">
      <c r="A86" s="2" t="s">
        <v>1142</v>
      </c>
      <c r="B86" s="26" t="s">
        <v>430</v>
      </c>
      <c r="C86" s="629">
        <v>19201800518</v>
      </c>
      <c r="D86" s="629">
        <v>3.32</v>
      </c>
      <c r="E86" s="225" t="s">
        <v>419</v>
      </c>
    </row>
    <row r="87" spans="1:5" x14ac:dyDescent="0.25">
      <c r="A87" s="2" t="s">
        <v>1142</v>
      </c>
      <c r="B87" s="26" t="s">
        <v>430</v>
      </c>
      <c r="C87" s="629">
        <v>19201800507</v>
      </c>
      <c r="D87" s="629">
        <v>3.21</v>
      </c>
      <c r="E87" s="225" t="s">
        <v>419</v>
      </c>
    </row>
    <row r="88" spans="1:5" x14ac:dyDescent="0.25">
      <c r="A88" s="2" t="s">
        <v>1142</v>
      </c>
      <c r="B88" s="26" t="s">
        <v>430</v>
      </c>
      <c r="C88" s="629">
        <v>19201800513</v>
      </c>
      <c r="D88" s="629">
        <v>3.14</v>
      </c>
      <c r="E88" s="225" t="s">
        <v>419</v>
      </c>
    </row>
    <row r="89" spans="1:5" x14ac:dyDescent="0.25">
      <c r="A89" s="2" t="s">
        <v>1142</v>
      </c>
      <c r="B89" s="26" t="s">
        <v>430</v>
      </c>
      <c r="C89" s="629">
        <v>19201800517</v>
      </c>
      <c r="D89" s="629">
        <v>2.93</v>
      </c>
      <c r="E89" s="225" t="s">
        <v>419</v>
      </c>
    </row>
    <row r="90" spans="1:5" x14ac:dyDescent="0.25">
      <c r="A90" s="2" t="s">
        <v>1142</v>
      </c>
      <c r="B90" s="26" t="s">
        <v>430</v>
      </c>
      <c r="C90" s="629">
        <v>19201800449</v>
      </c>
      <c r="D90" s="629">
        <v>2.89</v>
      </c>
      <c r="E90" s="225" t="s">
        <v>419</v>
      </c>
    </row>
    <row r="91" spans="1:5" x14ac:dyDescent="0.25">
      <c r="A91" s="2" t="s">
        <v>1142</v>
      </c>
      <c r="B91" s="26" t="s">
        <v>430</v>
      </c>
      <c r="C91" s="629">
        <v>19201800500</v>
      </c>
      <c r="D91" s="629">
        <v>2.69</v>
      </c>
      <c r="E91" s="225" t="s">
        <v>419</v>
      </c>
    </row>
    <row r="92" spans="1:5" x14ac:dyDescent="0.25">
      <c r="A92" s="2" t="s">
        <v>1142</v>
      </c>
      <c r="B92" s="26" t="s">
        <v>430</v>
      </c>
      <c r="C92" s="629">
        <v>19201800510</v>
      </c>
      <c r="D92" s="629" t="s">
        <v>1143</v>
      </c>
      <c r="E92" s="226" t="s">
        <v>420</v>
      </c>
    </row>
    <row r="93" spans="1:5" x14ac:dyDescent="0.25">
      <c r="A93" s="2" t="s">
        <v>1142</v>
      </c>
      <c r="B93" s="26" t="s">
        <v>430</v>
      </c>
      <c r="C93" s="629">
        <v>19201800498</v>
      </c>
      <c r="D93" s="629" t="s">
        <v>1143</v>
      </c>
      <c r="E93" s="226" t="s">
        <v>420</v>
      </c>
    </row>
    <row r="94" spans="1:5" x14ac:dyDescent="0.25">
      <c r="A94" s="2" t="s">
        <v>1142</v>
      </c>
      <c r="B94" s="26" t="s">
        <v>430</v>
      </c>
      <c r="C94" s="629">
        <v>19201800442</v>
      </c>
      <c r="D94" s="629" t="s">
        <v>1140</v>
      </c>
      <c r="E94" s="226" t="s">
        <v>420</v>
      </c>
    </row>
    <row r="95" spans="1:5" x14ac:dyDescent="0.25">
      <c r="A95" s="2" t="s">
        <v>1142</v>
      </c>
      <c r="B95" s="26" t="s">
        <v>457</v>
      </c>
      <c r="C95" s="629">
        <v>19201800489</v>
      </c>
      <c r="D95" s="629">
        <v>3.84</v>
      </c>
      <c r="E95" s="225" t="s">
        <v>419</v>
      </c>
    </row>
    <row r="96" spans="1:5" x14ac:dyDescent="0.25">
      <c r="A96" s="2" t="s">
        <v>1142</v>
      </c>
      <c r="B96" s="26" t="s">
        <v>457</v>
      </c>
      <c r="C96" s="629">
        <v>19201800515</v>
      </c>
      <c r="D96" s="629">
        <v>3.31</v>
      </c>
      <c r="E96" s="225" t="s">
        <v>419</v>
      </c>
    </row>
    <row r="97" spans="1:5" x14ac:dyDescent="0.25">
      <c r="A97" s="2" t="s">
        <v>1142</v>
      </c>
      <c r="B97" s="26" t="s">
        <v>457</v>
      </c>
      <c r="C97" s="629">
        <v>19201800497</v>
      </c>
      <c r="D97" s="629">
        <v>3.13</v>
      </c>
      <c r="E97" s="225" t="s">
        <v>419</v>
      </c>
    </row>
    <row r="98" spans="1:5" x14ac:dyDescent="0.25">
      <c r="A98" s="2" t="s">
        <v>1142</v>
      </c>
      <c r="B98" s="26" t="s">
        <v>457</v>
      </c>
      <c r="C98" s="629">
        <v>19201800534</v>
      </c>
      <c r="D98" s="629">
        <v>2.67</v>
      </c>
      <c r="E98" s="225" t="s">
        <v>419</v>
      </c>
    </row>
    <row r="99" spans="1:5" x14ac:dyDescent="0.25">
      <c r="A99" s="2" t="s">
        <v>1142</v>
      </c>
      <c r="B99" s="26" t="s">
        <v>457</v>
      </c>
      <c r="C99" s="629">
        <v>19201800499</v>
      </c>
      <c r="D99" s="629" t="s">
        <v>1141</v>
      </c>
      <c r="E99" s="226" t="s">
        <v>420</v>
      </c>
    </row>
    <row r="100" spans="1:5" x14ac:dyDescent="0.25">
      <c r="A100" s="2" t="s">
        <v>1142</v>
      </c>
      <c r="B100" s="26" t="s">
        <v>457</v>
      </c>
      <c r="C100" s="629">
        <v>19201800509</v>
      </c>
      <c r="D100" s="629" t="s">
        <v>1140</v>
      </c>
      <c r="E100" s="226" t="s">
        <v>420</v>
      </c>
    </row>
    <row r="101" spans="1:5" x14ac:dyDescent="0.25">
      <c r="A101" s="2" t="s">
        <v>1196</v>
      </c>
      <c r="B101" s="2" t="str">
        <f>$B$92</f>
        <v>Meede 2 "Ettevõtluse arendamine"</v>
      </c>
      <c r="C101" s="2">
        <v>19201900487</v>
      </c>
      <c r="D101" s="2">
        <v>3.77</v>
      </c>
      <c r="E101" s="301" t="s">
        <v>419</v>
      </c>
    </row>
    <row r="102" spans="1:5" x14ac:dyDescent="0.25">
      <c r="A102" s="2" t="str">
        <f t="shared" ref="A102:A108" si="0">$A$101</f>
        <v>28.02.2019-02.04.2019</v>
      </c>
      <c r="B102" s="2" t="str">
        <f t="shared" ref="B102:B114" si="1">$B$92</f>
        <v>Meede 2 "Ettevõtluse arendamine"</v>
      </c>
      <c r="C102" s="2">
        <v>19201900478</v>
      </c>
      <c r="D102" s="2">
        <v>3.4</v>
      </c>
      <c r="E102" s="301" t="s">
        <v>419</v>
      </c>
    </row>
    <row r="103" spans="1:5" x14ac:dyDescent="0.25">
      <c r="A103" s="2" t="str">
        <f t="shared" si="0"/>
        <v>28.02.2019-02.04.2019</v>
      </c>
      <c r="B103" s="2" t="str">
        <f t="shared" si="1"/>
        <v>Meede 2 "Ettevõtluse arendamine"</v>
      </c>
      <c r="C103" s="2">
        <v>19201900491</v>
      </c>
      <c r="D103" s="2">
        <v>3.36</v>
      </c>
      <c r="E103" s="301" t="s">
        <v>419</v>
      </c>
    </row>
    <row r="104" spans="1:5" x14ac:dyDescent="0.25">
      <c r="A104" s="2" t="str">
        <f t="shared" si="0"/>
        <v>28.02.2019-02.04.2019</v>
      </c>
      <c r="B104" s="2" t="str">
        <f t="shared" si="1"/>
        <v>Meede 2 "Ettevõtluse arendamine"</v>
      </c>
      <c r="C104" s="2">
        <v>19201900457</v>
      </c>
      <c r="D104" s="2">
        <v>3.29</v>
      </c>
      <c r="E104" s="301" t="s">
        <v>419</v>
      </c>
    </row>
    <row r="105" spans="1:5" x14ac:dyDescent="0.25">
      <c r="A105" s="2" t="str">
        <f t="shared" si="0"/>
        <v>28.02.2019-02.04.2019</v>
      </c>
      <c r="B105" s="2" t="str">
        <f t="shared" si="1"/>
        <v>Meede 2 "Ettevõtluse arendamine"</v>
      </c>
      <c r="C105" s="2">
        <v>19201900486</v>
      </c>
      <c r="D105" s="2">
        <v>3.16</v>
      </c>
      <c r="E105" s="301" t="s">
        <v>419</v>
      </c>
    </row>
    <row r="106" spans="1:5" x14ac:dyDescent="0.25">
      <c r="A106" s="2" t="str">
        <f t="shared" si="0"/>
        <v>28.02.2019-02.04.2019</v>
      </c>
      <c r="B106" s="2" t="str">
        <f t="shared" si="1"/>
        <v>Meede 2 "Ettevõtluse arendamine"</v>
      </c>
      <c r="C106" s="2">
        <v>19201900495</v>
      </c>
      <c r="D106" s="2">
        <v>2.99</v>
      </c>
      <c r="E106" s="301" t="s">
        <v>419</v>
      </c>
    </row>
    <row r="107" spans="1:5" x14ac:dyDescent="0.25">
      <c r="A107" s="2" t="str">
        <f t="shared" si="0"/>
        <v>28.02.2019-02.04.2019</v>
      </c>
      <c r="B107" s="2" t="str">
        <f t="shared" si="1"/>
        <v>Meede 2 "Ettevõtluse arendamine"</v>
      </c>
      <c r="C107" s="2">
        <v>19201900469</v>
      </c>
      <c r="D107" s="2">
        <v>2.96</v>
      </c>
      <c r="E107" s="301" t="s">
        <v>419</v>
      </c>
    </row>
    <row r="108" spans="1:5" x14ac:dyDescent="0.25">
      <c r="A108" s="2" t="str">
        <f t="shared" si="0"/>
        <v>28.02.2019-02.04.2019</v>
      </c>
      <c r="B108" s="2" t="str">
        <f t="shared" si="1"/>
        <v>Meede 2 "Ettevõtluse arendamine"</v>
      </c>
      <c r="C108" s="2">
        <v>19201900416</v>
      </c>
      <c r="D108" s="2">
        <v>2.79</v>
      </c>
      <c r="E108" s="226" t="s">
        <v>420</v>
      </c>
    </row>
    <row r="109" spans="1:5" x14ac:dyDescent="0.25">
      <c r="A109" s="2" t="str">
        <f t="shared" ref="A109:A114" si="2">$A$108</f>
        <v>28.02.2019-02.04.2019</v>
      </c>
      <c r="B109" s="2" t="str">
        <f t="shared" si="1"/>
        <v>Meede 2 "Ettevõtluse arendamine"</v>
      </c>
      <c r="C109" s="2">
        <v>19201900475</v>
      </c>
      <c r="D109" s="2" t="str">
        <f>$D$99</f>
        <v>Lävendi all</v>
      </c>
      <c r="E109" s="226" t="s">
        <v>420</v>
      </c>
    </row>
    <row r="110" spans="1:5" x14ac:dyDescent="0.25">
      <c r="A110" s="2" t="str">
        <f t="shared" si="2"/>
        <v>28.02.2019-02.04.2019</v>
      </c>
      <c r="B110" s="2" t="str">
        <f t="shared" si="1"/>
        <v>Meede 2 "Ettevõtluse arendamine"</v>
      </c>
      <c r="C110" s="2">
        <v>19201900482</v>
      </c>
      <c r="D110" s="2" t="str">
        <f t="shared" ref="D110:D113" si="3">$D$99</f>
        <v>Lävendi all</v>
      </c>
      <c r="E110" s="226" t="s">
        <v>420</v>
      </c>
    </row>
    <row r="111" spans="1:5" x14ac:dyDescent="0.25">
      <c r="A111" s="2" t="str">
        <f t="shared" si="2"/>
        <v>28.02.2019-02.04.2019</v>
      </c>
      <c r="B111" s="2" t="str">
        <f t="shared" si="1"/>
        <v>Meede 2 "Ettevõtluse arendamine"</v>
      </c>
      <c r="C111" s="2">
        <v>19201900490</v>
      </c>
      <c r="D111" s="2" t="str">
        <f t="shared" si="3"/>
        <v>Lävendi all</v>
      </c>
      <c r="E111" s="226" t="s">
        <v>420</v>
      </c>
    </row>
    <row r="112" spans="1:5" x14ac:dyDescent="0.25">
      <c r="A112" s="2" t="str">
        <f t="shared" si="2"/>
        <v>28.02.2019-02.04.2019</v>
      </c>
      <c r="B112" s="2" t="str">
        <f t="shared" si="1"/>
        <v>Meede 2 "Ettevõtluse arendamine"</v>
      </c>
      <c r="C112" s="2">
        <v>19201900503</v>
      </c>
      <c r="D112" s="2" t="str">
        <f t="shared" si="3"/>
        <v>Lävendi all</v>
      </c>
      <c r="E112" s="226" t="s">
        <v>420</v>
      </c>
    </row>
    <row r="113" spans="1:5" x14ac:dyDescent="0.25">
      <c r="A113" s="2" t="str">
        <f t="shared" si="2"/>
        <v>28.02.2019-02.04.2019</v>
      </c>
      <c r="B113" s="2" t="str">
        <f t="shared" si="1"/>
        <v>Meede 2 "Ettevõtluse arendamine"</v>
      </c>
      <c r="C113" s="2">
        <v>19201900488</v>
      </c>
      <c r="D113" s="2" t="str">
        <f t="shared" si="3"/>
        <v>Lävendi all</v>
      </c>
      <c r="E113" s="226" t="s">
        <v>420</v>
      </c>
    </row>
    <row r="114" spans="1:5" x14ac:dyDescent="0.25">
      <c r="A114" s="2" t="str">
        <f t="shared" si="2"/>
        <v>28.02.2019-02.04.2019</v>
      </c>
      <c r="B114" s="2" t="str">
        <f t="shared" si="1"/>
        <v>Meede 2 "Ettevõtluse arendamine"</v>
      </c>
      <c r="C114" s="2">
        <v>19201900423</v>
      </c>
      <c r="D114" s="2" t="s">
        <v>1140</v>
      </c>
      <c r="E114" s="226" t="s">
        <v>420</v>
      </c>
    </row>
    <row r="115" spans="1:5" x14ac:dyDescent="0.25">
      <c r="A115" s="2" t="str">
        <f>$A$114</f>
        <v>28.02.2019-02.04.2019</v>
      </c>
      <c r="B115" s="2" t="str">
        <f>$B$80</f>
        <v>Meede 1 "Elukeskkonna arendamine"</v>
      </c>
      <c r="C115" s="2">
        <v>19201900479</v>
      </c>
      <c r="D115" s="2">
        <v>3.99</v>
      </c>
      <c r="E115" s="301" t="s">
        <v>419</v>
      </c>
    </row>
    <row r="116" spans="1:5" x14ac:dyDescent="0.25">
      <c r="A116" s="2" t="str">
        <f t="shared" ref="A116:A121" si="4">$A$114</f>
        <v>28.02.2019-02.04.2019</v>
      </c>
      <c r="B116" s="2" t="str">
        <f t="shared" ref="B116:B127" si="5">$B$80</f>
        <v>Meede 1 "Elukeskkonna arendamine"</v>
      </c>
      <c r="C116" s="2">
        <v>19201900480</v>
      </c>
      <c r="D116" s="2">
        <v>3.88</v>
      </c>
      <c r="E116" s="301" t="s">
        <v>419</v>
      </c>
    </row>
    <row r="117" spans="1:5" x14ac:dyDescent="0.25">
      <c r="A117" s="2" t="str">
        <f t="shared" si="4"/>
        <v>28.02.2019-02.04.2019</v>
      </c>
      <c r="B117" s="2" t="str">
        <f t="shared" si="5"/>
        <v>Meede 1 "Elukeskkonna arendamine"</v>
      </c>
      <c r="C117" s="2">
        <v>19201900483</v>
      </c>
      <c r="D117" s="2">
        <v>3.71</v>
      </c>
      <c r="E117" s="301" t="s">
        <v>419</v>
      </c>
    </row>
    <row r="118" spans="1:5" x14ac:dyDescent="0.25">
      <c r="A118" s="2" t="str">
        <f t="shared" si="4"/>
        <v>28.02.2019-02.04.2019</v>
      </c>
      <c r="B118" s="2" t="str">
        <f t="shared" si="5"/>
        <v>Meede 1 "Elukeskkonna arendamine"</v>
      </c>
      <c r="C118" s="2">
        <v>19201900476</v>
      </c>
      <c r="D118" s="2">
        <v>3.45</v>
      </c>
      <c r="E118" s="301" t="s">
        <v>419</v>
      </c>
    </row>
    <row r="119" spans="1:5" x14ac:dyDescent="0.25">
      <c r="A119" s="2" t="str">
        <f t="shared" si="4"/>
        <v>28.02.2019-02.04.2019</v>
      </c>
      <c r="B119" s="2" t="str">
        <f t="shared" si="5"/>
        <v>Meede 1 "Elukeskkonna arendamine"</v>
      </c>
      <c r="C119" s="2">
        <v>19201900493</v>
      </c>
      <c r="D119" s="2">
        <v>3.25</v>
      </c>
      <c r="E119" s="301" t="s">
        <v>419</v>
      </c>
    </row>
    <row r="120" spans="1:5" x14ac:dyDescent="0.25">
      <c r="A120" s="2" t="str">
        <f t="shared" si="4"/>
        <v>28.02.2019-02.04.2019</v>
      </c>
      <c r="B120" s="2" t="str">
        <f t="shared" si="5"/>
        <v>Meede 1 "Elukeskkonna arendamine"</v>
      </c>
      <c r="C120" s="2">
        <v>19201900498</v>
      </c>
      <c r="D120" s="2">
        <v>3.24</v>
      </c>
      <c r="E120" s="301" t="s">
        <v>419</v>
      </c>
    </row>
    <row r="121" spans="1:5" x14ac:dyDescent="0.25">
      <c r="A121" s="2" t="str">
        <f t="shared" si="4"/>
        <v>28.02.2019-02.04.2019</v>
      </c>
      <c r="B121" s="2" t="str">
        <f t="shared" si="5"/>
        <v>Meede 1 "Elukeskkonna arendamine"</v>
      </c>
      <c r="C121" s="2">
        <v>19201900494</v>
      </c>
      <c r="D121" s="2">
        <v>3.11</v>
      </c>
      <c r="E121" s="301" t="s">
        <v>419</v>
      </c>
    </row>
    <row r="122" spans="1:5" x14ac:dyDescent="0.25">
      <c r="A122" s="2" t="str">
        <f t="shared" ref="A122:A126" si="6">$A$114</f>
        <v>28.02.2019-02.04.2019</v>
      </c>
      <c r="B122" s="2" t="str">
        <f t="shared" si="5"/>
        <v>Meede 1 "Elukeskkonna arendamine"</v>
      </c>
      <c r="C122" s="2">
        <v>19201900474</v>
      </c>
      <c r="D122" s="2">
        <v>3.06</v>
      </c>
      <c r="E122" s="301" t="s">
        <v>419</v>
      </c>
    </row>
    <row r="123" spans="1:5" x14ac:dyDescent="0.25">
      <c r="A123" s="2" t="str">
        <f t="shared" si="6"/>
        <v>28.02.2019-02.04.2019</v>
      </c>
      <c r="B123" s="2" t="str">
        <f t="shared" si="5"/>
        <v>Meede 1 "Elukeskkonna arendamine"</v>
      </c>
      <c r="C123" s="2">
        <v>19201900499</v>
      </c>
      <c r="D123" s="2">
        <v>2.93</v>
      </c>
      <c r="E123" s="301" t="s">
        <v>419</v>
      </c>
    </row>
    <row r="124" spans="1:5" x14ac:dyDescent="0.25">
      <c r="A124" s="2" t="str">
        <f t="shared" si="6"/>
        <v>28.02.2019-02.04.2019</v>
      </c>
      <c r="B124" s="2" t="str">
        <f t="shared" si="5"/>
        <v>Meede 1 "Elukeskkonna arendamine"</v>
      </c>
      <c r="C124" s="2">
        <v>19201900505</v>
      </c>
      <c r="D124" s="2">
        <v>2.91</v>
      </c>
      <c r="E124" s="226" t="s">
        <v>420</v>
      </c>
    </row>
    <row r="125" spans="1:5" x14ac:dyDescent="0.25">
      <c r="A125" s="2" t="str">
        <f t="shared" si="6"/>
        <v>28.02.2019-02.04.2019</v>
      </c>
      <c r="B125" s="2" t="str">
        <f t="shared" si="5"/>
        <v>Meede 1 "Elukeskkonna arendamine"</v>
      </c>
      <c r="C125" s="2">
        <v>19201900496</v>
      </c>
      <c r="D125" s="2" t="str">
        <f>$D$113</f>
        <v>Lävendi all</v>
      </c>
      <c r="E125" s="226" t="s">
        <v>420</v>
      </c>
    </row>
    <row r="126" spans="1:5" x14ac:dyDescent="0.25">
      <c r="A126" s="2" t="str">
        <f t="shared" si="6"/>
        <v>28.02.2019-02.04.2019</v>
      </c>
      <c r="B126" s="2" t="str">
        <f t="shared" si="5"/>
        <v>Meede 1 "Elukeskkonna arendamine"</v>
      </c>
      <c r="C126" s="2">
        <v>19201900484</v>
      </c>
      <c r="D126" s="2" t="str">
        <f>$D$113</f>
        <v>Lävendi all</v>
      </c>
      <c r="E126" s="226" t="s">
        <v>420</v>
      </c>
    </row>
    <row r="127" spans="1:5" x14ac:dyDescent="0.25">
      <c r="A127" s="2" t="str">
        <f>$A$126</f>
        <v>28.02.2019-02.04.2019</v>
      </c>
      <c r="B127" s="2" t="str">
        <f t="shared" si="5"/>
        <v>Meede 1 "Elukeskkonna arendamine"</v>
      </c>
      <c r="C127" s="2">
        <v>19201900485</v>
      </c>
      <c r="D127" s="2" t="str">
        <f>$D$113</f>
        <v>Lävendi all</v>
      </c>
      <c r="E127" s="226" t="s">
        <v>420</v>
      </c>
    </row>
    <row r="128" spans="1:5" x14ac:dyDescent="0.25">
      <c r="A128" s="2" t="str">
        <f t="shared" ref="A128:A135" si="7">$A$127</f>
        <v>28.02.2019-02.04.2019</v>
      </c>
      <c r="B128" s="2" t="str">
        <f>$B$99</f>
        <v>Meede 3 "Ühistegevuse arendamine"</v>
      </c>
      <c r="C128" s="2">
        <v>19201900413</v>
      </c>
      <c r="D128" s="2">
        <v>3.33</v>
      </c>
      <c r="E128" s="301" t="s">
        <v>419</v>
      </c>
    </row>
    <row r="129" spans="1:5" x14ac:dyDescent="0.25">
      <c r="A129" s="2" t="str">
        <f t="shared" si="7"/>
        <v>28.02.2019-02.04.2019</v>
      </c>
      <c r="B129" s="2" t="str">
        <f t="shared" ref="B129:B135" si="8">$B$99</f>
        <v>Meede 3 "Ühistegevuse arendamine"</v>
      </c>
      <c r="C129" s="2">
        <v>19201900502</v>
      </c>
      <c r="D129" s="2">
        <v>3.23</v>
      </c>
      <c r="E129" s="301" t="s">
        <v>419</v>
      </c>
    </row>
    <row r="130" spans="1:5" x14ac:dyDescent="0.25">
      <c r="A130" s="2" t="str">
        <f t="shared" si="7"/>
        <v>28.02.2019-02.04.2019</v>
      </c>
      <c r="B130" s="2" t="str">
        <f t="shared" si="8"/>
        <v>Meede 3 "Ühistegevuse arendamine"</v>
      </c>
      <c r="C130" s="2">
        <v>19201900497</v>
      </c>
      <c r="D130" s="2">
        <v>3.15</v>
      </c>
      <c r="E130" s="301" t="s">
        <v>419</v>
      </c>
    </row>
    <row r="131" spans="1:5" x14ac:dyDescent="0.25">
      <c r="A131" s="2" t="str">
        <f t="shared" si="7"/>
        <v>28.02.2019-02.04.2019</v>
      </c>
      <c r="B131" s="2" t="str">
        <f t="shared" si="8"/>
        <v>Meede 3 "Ühistegevuse arendamine"</v>
      </c>
      <c r="C131" s="2">
        <v>19201900477</v>
      </c>
      <c r="D131" s="2">
        <v>3.11</v>
      </c>
      <c r="E131" s="301" t="s">
        <v>419</v>
      </c>
    </row>
    <row r="132" spans="1:5" x14ac:dyDescent="0.25">
      <c r="A132" s="2" t="str">
        <f t="shared" si="7"/>
        <v>28.02.2019-02.04.2019</v>
      </c>
      <c r="B132" s="2" t="str">
        <f t="shared" si="8"/>
        <v>Meede 3 "Ühistegevuse arendamine"</v>
      </c>
      <c r="C132" s="2">
        <v>19201900481</v>
      </c>
      <c r="D132" s="2">
        <v>3.06</v>
      </c>
      <c r="E132" s="301" t="s">
        <v>419</v>
      </c>
    </row>
    <row r="133" spans="1:5" x14ac:dyDescent="0.25">
      <c r="A133" s="2" t="str">
        <f t="shared" si="7"/>
        <v>28.02.2019-02.04.2019</v>
      </c>
      <c r="B133" s="2" t="str">
        <f t="shared" si="8"/>
        <v>Meede 3 "Ühistegevuse arendamine"</v>
      </c>
      <c r="C133" s="2">
        <v>19201900501</v>
      </c>
      <c r="D133" s="2">
        <v>2.96</v>
      </c>
      <c r="E133" s="301" t="s">
        <v>419</v>
      </c>
    </row>
    <row r="134" spans="1:5" x14ac:dyDescent="0.25">
      <c r="A134" s="2" t="str">
        <f t="shared" si="7"/>
        <v>28.02.2019-02.04.2019</v>
      </c>
      <c r="B134" s="2" t="str">
        <f t="shared" si="8"/>
        <v>Meede 3 "Ühistegevuse arendamine"</v>
      </c>
      <c r="C134" s="2">
        <v>19201900492</v>
      </c>
      <c r="D134" s="2">
        <v>2.6</v>
      </c>
      <c r="E134" s="301" t="s">
        <v>419</v>
      </c>
    </row>
    <row r="135" spans="1:5" x14ac:dyDescent="0.25">
      <c r="A135" s="179" t="str">
        <f t="shared" si="7"/>
        <v>28.02.2019-02.04.2019</v>
      </c>
      <c r="B135" s="179" t="str">
        <f t="shared" si="8"/>
        <v>Meede 3 "Ühistegevuse arendamine"</v>
      </c>
      <c r="C135" s="179">
        <v>19201900504</v>
      </c>
      <c r="D135" s="179">
        <v>2.5299999999999998</v>
      </c>
      <c r="E135" s="604" t="s">
        <v>419</v>
      </c>
    </row>
    <row r="136" spans="1:5" x14ac:dyDescent="0.25">
      <c r="A136" s="629" t="s">
        <v>1246</v>
      </c>
      <c r="B136" s="629" t="s">
        <v>430</v>
      </c>
      <c r="C136" s="753">
        <v>19202000381</v>
      </c>
      <c r="D136" s="764">
        <v>4.3099999999999996</v>
      </c>
      <c r="E136" s="701" t="s">
        <v>419</v>
      </c>
    </row>
    <row r="137" spans="1:5" x14ac:dyDescent="0.25">
      <c r="A137" s="629" t="s">
        <v>1246</v>
      </c>
      <c r="B137" s="629" t="s">
        <v>430</v>
      </c>
      <c r="C137" s="753">
        <v>19202000465</v>
      </c>
      <c r="D137" s="764">
        <v>3.74</v>
      </c>
      <c r="E137" s="701" t="s">
        <v>419</v>
      </c>
    </row>
    <row r="138" spans="1:5" x14ac:dyDescent="0.25">
      <c r="A138" s="629" t="s">
        <v>1246</v>
      </c>
      <c r="B138" s="629" t="s">
        <v>430</v>
      </c>
      <c r="C138" s="753">
        <v>19202000403</v>
      </c>
      <c r="D138" s="764">
        <v>3.48</v>
      </c>
      <c r="E138" s="701" t="s">
        <v>419</v>
      </c>
    </row>
    <row r="139" spans="1:5" x14ac:dyDescent="0.25">
      <c r="A139" s="629" t="s">
        <v>1246</v>
      </c>
      <c r="B139" s="629" t="s">
        <v>430</v>
      </c>
      <c r="C139" s="753">
        <v>19202000413</v>
      </c>
      <c r="D139" s="764">
        <v>3.05</v>
      </c>
      <c r="E139" s="701" t="s">
        <v>419</v>
      </c>
    </row>
    <row r="140" spans="1:5" x14ac:dyDescent="0.25">
      <c r="A140" s="629" t="s">
        <v>1246</v>
      </c>
      <c r="B140" s="765" t="s">
        <v>430</v>
      </c>
      <c r="C140" s="766">
        <v>19202000406</v>
      </c>
      <c r="D140" s="767">
        <v>2.54</v>
      </c>
      <c r="E140" s="701" t="s">
        <v>419</v>
      </c>
    </row>
    <row r="141" spans="1:5" x14ac:dyDescent="0.25">
      <c r="A141" s="629" t="s">
        <v>1246</v>
      </c>
      <c r="B141" s="655" t="s">
        <v>457</v>
      </c>
      <c r="C141" s="768">
        <v>19202000415</v>
      </c>
      <c r="D141" s="761">
        <v>4.55</v>
      </c>
      <c r="E141" s="701" t="s">
        <v>419</v>
      </c>
    </row>
    <row r="142" spans="1:5" x14ac:dyDescent="0.25">
      <c r="A142" s="629" t="s">
        <v>1246</v>
      </c>
      <c r="B142" s="655" t="s">
        <v>457</v>
      </c>
      <c r="C142" s="754">
        <v>19202000414</v>
      </c>
      <c r="D142" s="761">
        <v>3.71</v>
      </c>
      <c r="E142" s="701" t="s">
        <v>419</v>
      </c>
    </row>
    <row r="143" spans="1:5" x14ac:dyDescent="0.25">
      <c r="A143" s="629" t="s">
        <v>1246</v>
      </c>
      <c r="B143" s="655" t="s">
        <v>457</v>
      </c>
      <c r="C143" s="754">
        <v>19202000412</v>
      </c>
      <c r="D143" s="761">
        <v>3.28</v>
      </c>
      <c r="E143" s="701" t="s">
        <v>419</v>
      </c>
    </row>
    <row r="144" spans="1:5" x14ac:dyDescent="0.25">
      <c r="A144" s="629" t="s">
        <v>1246</v>
      </c>
      <c r="B144" s="655" t="s">
        <v>457</v>
      </c>
      <c r="C144" s="754">
        <v>19202000466</v>
      </c>
      <c r="D144" s="761">
        <v>3.23</v>
      </c>
      <c r="E144" s="701" t="s">
        <v>419</v>
      </c>
    </row>
    <row r="145" spans="1:7" x14ac:dyDescent="0.25">
      <c r="A145" s="629" t="s">
        <v>1246</v>
      </c>
      <c r="B145" s="655" t="s">
        <v>457</v>
      </c>
      <c r="C145" s="754">
        <v>19202000469</v>
      </c>
      <c r="D145" s="761">
        <v>2.4900000000000002</v>
      </c>
      <c r="E145" s="683" t="s">
        <v>420</v>
      </c>
    </row>
    <row r="146" spans="1:7" x14ac:dyDescent="0.25">
      <c r="A146" s="629" t="s">
        <v>1246</v>
      </c>
      <c r="B146" s="655" t="s">
        <v>457</v>
      </c>
      <c r="C146" s="754">
        <v>19202000397</v>
      </c>
      <c r="D146" s="761">
        <v>2.42</v>
      </c>
      <c r="E146" s="683" t="s">
        <v>420</v>
      </c>
    </row>
    <row r="147" spans="1:7" x14ac:dyDescent="0.25">
      <c r="A147" s="2" t="s">
        <v>1273</v>
      </c>
      <c r="B147" s="655" t="s">
        <v>429</v>
      </c>
      <c r="C147" s="2">
        <v>19202000915</v>
      </c>
      <c r="D147" s="2">
        <v>4.24</v>
      </c>
      <c r="E147" s="701" t="s">
        <v>419</v>
      </c>
      <c r="F147" s="647"/>
      <c r="G147" s="647"/>
    </row>
    <row r="148" spans="1:7" x14ac:dyDescent="0.25">
      <c r="A148" s="2" t="s">
        <v>1273</v>
      </c>
      <c r="B148" s="655" t="s">
        <v>429</v>
      </c>
      <c r="C148" s="2">
        <v>19202000910</v>
      </c>
      <c r="D148" s="2">
        <v>4.13</v>
      </c>
      <c r="E148" s="701" t="s">
        <v>419</v>
      </c>
      <c r="F148" s="647"/>
      <c r="G148" s="647"/>
    </row>
    <row r="149" spans="1:7" x14ac:dyDescent="0.25">
      <c r="A149" s="2" t="s">
        <v>1273</v>
      </c>
      <c r="B149" s="655" t="s">
        <v>429</v>
      </c>
      <c r="C149" s="2">
        <v>19202000914</v>
      </c>
      <c r="D149" s="2">
        <v>3.97</v>
      </c>
      <c r="E149" s="701" t="s">
        <v>419</v>
      </c>
      <c r="F149" s="647"/>
      <c r="G149" s="647"/>
    </row>
    <row r="150" spans="1:7" x14ac:dyDescent="0.25">
      <c r="A150" s="2" t="s">
        <v>1273</v>
      </c>
      <c r="B150" s="655" t="s">
        <v>429</v>
      </c>
      <c r="C150" s="2">
        <v>19202000929</v>
      </c>
      <c r="D150" s="2">
        <v>3.97</v>
      </c>
      <c r="E150" s="701" t="s">
        <v>419</v>
      </c>
      <c r="F150" s="647"/>
      <c r="G150" s="647"/>
    </row>
    <row r="151" spans="1:7" x14ac:dyDescent="0.25">
      <c r="A151" s="2" t="s">
        <v>1273</v>
      </c>
      <c r="B151" s="655" t="s">
        <v>429</v>
      </c>
      <c r="C151" s="2">
        <v>19202000922</v>
      </c>
      <c r="D151" s="2">
        <v>3.92</v>
      </c>
      <c r="E151" s="701" t="s">
        <v>419</v>
      </c>
      <c r="F151" s="647"/>
      <c r="G151" s="647"/>
    </row>
    <row r="152" spans="1:7" x14ac:dyDescent="0.25">
      <c r="A152" s="2" t="s">
        <v>1273</v>
      </c>
      <c r="B152" s="655" t="s">
        <v>429</v>
      </c>
      <c r="C152" s="2">
        <v>19202000913</v>
      </c>
      <c r="D152" s="2">
        <v>3.9</v>
      </c>
      <c r="E152" s="701" t="s">
        <v>419</v>
      </c>
      <c r="F152" s="647"/>
      <c r="G152" s="647"/>
    </row>
    <row r="153" spans="1:7" x14ac:dyDescent="0.25">
      <c r="A153" s="2" t="s">
        <v>1273</v>
      </c>
      <c r="B153" s="655" t="s">
        <v>429</v>
      </c>
      <c r="C153" s="2">
        <v>19202000911</v>
      </c>
      <c r="D153" s="2">
        <v>3.81</v>
      </c>
      <c r="E153" s="701" t="s">
        <v>419</v>
      </c>
      <c r="F153" s="647"/>
      <c r="G153" s="647"/>
    </row>
    <row r="154" spans="1:7" x14ac:dyDescent="0.25">
      <c r="A154" s="2" t="s">
        <v>1273</v>
      </c>
      <c r="B154" s="655" t="s">
        <v>429</v>
      </c>
      <c r="C154" s="2">
        <v>19202000918</v>
      </c>
      <c r="D154" s="2">
        <v>3.68</v>
      </c>
      <c r="E154" s="683" t="s">
        <v>420</v>
      </c>
      <c r="F154" s="647"/>
      <c r="G154" s="647"/>
    </row>
    <row r="155" spans="1:7" x14ac:dyDescent="0.25">
      <c r="A155" s="2" t="s">
        <v>1273</v>
      </c>
      <c r="B155" s="655" t="s">
        <v>429</v>
      </c>
      <c r="C155" s="2">
        <v>19202000927</v>
      </c>
      <c r="D155" s="2">
        <v>3.6</v>
      </c>
      <c r="E155" s="683" t="s">
        <v>420</v>
      </c>
      <c r="F155" s="647"/>
      <c r="G155" s="647"/>
    </row>
    <row r="156" spans="1:7" x14ac:dyDescent="0.25">
      <c r="A156" s="2" t="s">
        <v>1273</v>
      </c>
      <c r="B156" s="655" t="s">
        <v>429</v>
      </c>
      <c r="C156" s="2">
        <v>19202000908</v>
      </c>
      <c r="D156" s="2">
        <v>3.44</v>
      </c>
      <c r="E156" s="683" t="s">
        <v>420</v>
      </c>
      <c r="F156" s="647"/>
      <c r="G156" s="647"/>
    </row>
    <row r="157" spans="1:7" x14ac:dyDescent="0.25">
      <c r="A157" s="2" t="s">
        <v>1273</v>
      </c>
      <c r="B157" s="655" t="s">
        <v>429</v>
      </c>
      <c r="C157" s="2">
        <v>19202000917</v>
      </c>
      <c r="D157" s="2">
        <v>3.14</v>
      </c>
      <c r="E157" s="683" t="s">
        <v>420</v>
      </c>
      <c r="F157" s="647"/>
      <c r="G157" s="647"/>
    </row>
    <row r="158" spans="1:7" x14ac:dyDescent="0.25">
      <c r="A158" s="2" t="s">
        <v>1273</v>
      </c>
      <c r="B158" s="655" t="s">
        <v>429</v>
      </c>
      <c r="C158" s="2">
        <v>19202000923</v>
      </c>
      <c r="D158" s="2">
        <v>2.7</v>
      </c>
      <c r="E158" s="683" t="s">
        <v>420</v>
      </c>
      <c r="F158" s="647"/>
      <c r="G158" s="647"/>
    </row>
    <row r="159" spans="1:7" x14ac:dyDescent="0.25">
      <c r="A159" s="2" t="s">
        <v>1273</v>
      </c>
      <c r="B159" s="655" t="s">
        <v>430</v>
      </c>
      <c r="C159" s="2">
        <v>19202000930</v>
      </c>
      <c r="D159" s="2">
        <v>3.81</v>
      </c>
      <c r="E159" s="701" t="s">
        <v>419</v>
      </c>
      <c r="F159" s="647"/>
      <c r="G159" s="647"/>
    </row>
    <row r="160" spans="1:7" x14ac:dyDescent="0.25">
      <c r="A160" s="2" t="s">
        <v>1273</v>
      </c>
      <c r="B160" s="655" t="s">
        <v>430</v>
      </c>
      <c r="C160" s="2">
        <v>19202000916</v>
      </c>
      <c r="D160" s="2">
        <v>3.59</v>
      </c>
      <c r="E160" s="701" t="s">
        <v>419</v>
      </c>
      <c r="F160" s="647"/>
      <c r="G160" s="647"/>
    </row>
    <row r="161" spans="1:7" x14ac:dyDescent="0.25">
      <c r="A161" s="2" t="s">
        <v>1273</v>
      </c>
      <c r="B161" s="655" t="s">
        <v>430</v>
      </c>
      <c r="C161" s="2">
        <v>19202000931</v>
      </c>
      <c r="D161" s="2">
        <v>3.54</v>
      </c>
      <c r="E161" s="701" t="s">
        <v>419</v>
      </c>
      <c r="F161" s="647"/>
      <c r="G161" s="647"/>
    </row>
    <row r="162" spans="1:7" x14ac:dyDescent="0.25">
      <c r="A162" s="2" t="s">
        <v>1273</v>
      </c>
      <c r="B162" s="655" t="s">
        <v>430</v>
      </c>
      <c r="C162" s="2">
        <v>19202000921</v>
      </c>
      <c r="D162" s="2">
        <v>3.45</v>
      </c>
      <c r="E162" s="701" t="s">
        <v>419</v>
      </c>
      <c r="F162" s="647"/>
      <c r="G162" s="647"/>
    </row>
    <row r="163" spans="1:7" x14ac:dyDescent="0.25">
      <c r="A163" s="2" t="s">
        <v>1273</v>
      </c>
      <c r="B163" s="655" t="s">
        <v>430</v>
      </c>
      <c r="C163" s="2">
        <v>19202000912</v>
      </c>
      <c r="D163" s="2">
        <v>3.38</v>
      </c>
      <c r="E163" s="701" t="s">
        <v>419</v>
      </c>
      <c r="F163" s="647"/>
      <c r="G163" s="647"/>
    </row>
    <row r="164" spans="1:7" x14ac:dyDescent="0.25">
      <c r="A164" s="2" t="s">
        <v>1273</v>
      </c>
      <c r="B164" s="655" t="s">
        <v>430</v>
      </c>
      <c r="C164" s="2">
        <v>19202000928</v>
      </c>
      <c r="D164" s="2">
        <v>3.24</v>
      </c>
      <c r="E164" s="701" t="s">
        <v>419</v>
      </c>
      <c r="F164" s="647"/>
      <c r="G164" s="647"/>
    </row>
    <row r="165" spans="1:7" x14ac:dyDescent="0.25">
      <c r="A165" s="2" t="s">
        <v>1273</v>
      </c>
      <c r="B165" s="655" t="s">
        <v>430</v>
      </c>
      <c r="C165" s="2">
        <v>19202000926</v>
      </c>
      <c r="D165" s="2">
        <v>3.19</v>
      </c>
      <c r="E165" s="701" t="s">
        <v>419</v>
      </c>
      <c r="F165" s="647"/>
      <c r="G165" s="647"/>
    </row>
    <row r="166" spans="1:7" x14ac:dyDescent="0.25">
      <c r="A166" s="2" t="s">
        <v>1273</v>
      </c>
      <c r="B166" s="655" t="s">
        <v>430</v>
      </c>
      <c r="C166" s="2">
        <v>19202000919</v>
      </c>
      <c r="D166" s="2">
        <v>3.03</v>
      </c>
      <c r="E166" s="701" t="s">
        <v>419</v>
      </c>
      <c r="F166" s="647"/>
      <c r="G166" s="647"/>
    </row>
    <row r="167" spans="1:7" x14ac:dyDescent="0.25">
      <c r="A167" s="2" t="s">
        <v>1273</v>
      </c>
      <c r="B167" s="655" t="s">
        <v>430</v>
      </c>
      <c r="C167" s="2">
        <v>19202000907</v>
      </c>
      <c r="D167" s="2">
        <v>3</v>
      </c>
      <c r="E167" s="701" t="s">
        <v>419</v>
      </c>
      <c r="F167" s="647"/>
      <c r="G167" s="647"/>
    </row>
    <row r="168" spans="1:7" x14ac:dyDescent="0.25">
      <c r="A168" s="2" t="s">
        <v>1273</v>
      </c>
      <c r="B168" s="655" t="s">
        <v>430</v>
      </c>
      <c r="C168" s="2">
        <v>19202000909</v>
      </c>
      <c r="D168" s="2">
        <v>2.98</v>
      </c>
      <c r="E168" s="701" t="s">
        <v>419</v>
      </c>
      <c r="F168" s="647"/>
      <c r="G168" s="647"/>
    </row>
    <row r="169" spans="1:7" x14ac:dyDescent="0.25">
      <c r="A169" s="2" t="s">
        <v>1273</v>
      </c>
      <c r="B169" s="655" t="s">
        <v>430</v>
      </c>
      <c r="C169" s="2">
        <v>19202000920</v>
      </c>
      <c r="D169" s="2">
        <v>2.95</v>
      </c>
      <c r="E169" s="683" t="s">
        <v>420</v>
      </c>
      <c r="F169" s="647"/>
      <c r="G169" s="647"/>
    </row>
    <row r="170" spans="1:7" x14ac:dyDescent="0.25">
      <c r="A170" s="2" t="s">
        <v>1273</v>
      </c>
      <c r="B170" s="655" t="s">
        <v>430</v>
      </c>
      <c r="C170" s="2">
        <v>19202000904</v>
      </c>
      <c r="D170" s="2">
        <v>2.94</v>
      </c>
      <c r="E170" s="683" t="s">
        <v>420</v>
      </c>
      <c r="F170" s="647"/>
      <c r="G170" s="647"/>
    </row>
    <row r="171" spans="1:7" x14ac:dyDescent="0.25">
      <c r="A171" s="2" t="s">
        <v>1273</v>
      </c>
      <c r="B171" s="655" t="s">
        <v>430</v>
      </c>
      <c r="C171" s="2">
        <v>19202000906</v>
      </c>
      <c r="D171" s="2">
        <v>2.73</v>
      </c>
      <c r="E171" s="683" t="s">
        <v>420</v>
      </c>
      <c r="F171" s="647"/>
      <c r="G171" s="647"/>
    </row>
    <row r="172" spans="1:7" x14ac:dyDescent="0.25">
      <c r="A172" s="2" t="s">
        <v>1273</v>
      </c>
      <c r="B172" s="655" t="s">
        <v>430</v>
      </c>
      <c r="C172" s="2">
        <v>19202000925</v>
      </c>
      <c r="D172" s="2">
        <v>2.66</v>
      </c>
      <c r="E172" s="683" t="s">
        <v>420</v>
      </c>
      <c r="F172" s="647"/>
      <c r="G172" s="647"/>
    </row>
    <row r="173" spans="1:7" x14ac:dyDescent="0.25">
      <c r="A173" s="2" t="s">
        <v>1273</v>
      </c>
      <c r="B173" s="655" t="s">
        <v>430</v>
      </c>
      <c r="C173" s="2">
        <v>19202000924</v>
      </c>
      <c r="D173" s="2">
        <v>2.52</v>
      </c>
      <c r="E173" s="683" t="s">
        <v>420</v>
      </c>
      <c r="F173" s="647"/>
      <c r="G173" s="647"/>
    </row>
    <row r="174" spans="1:7" x14ac:dyDescent="0.25">
      <c r="A174" s="2" t="s">
        <v>1273</v>
      </c>
      <c r="B174" s="655" t="s">
        <v>430</v>
      </c>
      <c r="C174" s="2">
        <v>19202000905</v>
      </c>
      <c r="D174" s="2">
        <v>2.15</v>
      </c>
      <c r="E174" s="683" t="s">
        <v>420</v>
      </c>
      <c r="F174" s="647"/>
      <c r="G174" s="647"/>
    </row>
    <row r="175" spans="1:7" x14ac:dyDescent="0.25">
      <c r="A175" s="2" t="s">
        <v>1360</v>
      </c>
      <c r="B175" s="2" t="s">
        <v>1361</v>
      </c>
      <c r="C175" s="2">
        <v>19202100729</v>
      </c>
      <c r="D175" s="2">
        <v>3.29</v>
      </c>
      <c r="E175" s="701" t="s">
        <v>419</v>
      </c>
    </row>
    <row r="176" spans="1:7" x14ac:dyDescent="0.25">
      <c r="A176" s="2" t="s">
        <v>1360</v>
      </c>
      <c r="B176" s="2" t="s">
        <v>1361</v>
      </c>
      <c r="C176" s="2">
        <v>19202100698</v>
      </c>
      <c r="D176" s="2">
        <v>3.06</v>
      </c>
      <c r="E176" s="701" t="s">
        <v>419</v>
      </c>
    </row>
    <row r="177" spans="1:5" x14ac:dyDescent="0.25">
      <c r="A177" s="2" t="s">
        <v>1360</v>
      </c>
      <c r="B177" s="2" t="s">
        <v>1361</v>
      </c>
      <c r="C177" s="2">
        <v>19202100720</v>
      </c>
      <c r="D177" s="2">
        <v>3</v>
      </c>
      <c r="E177" s="701" t="s">
        <v>419</v>
      </c>
    </row>
    <row r="178" spans="1:5" x14ac:dyDescent="0.25">
      <c r="A178" s="2" t="s">
        <v>1360</v>
      </c>
      <c r="B178" s="2" t="s">
        <v>1361</v>
      </c>
      <c r="C178" s="2">
        <v>19202100708</v>
      </c>
      <c r="D178" s="2">
        <v>2.95</v>
      </c>
      <c r="E178" s="701" t="s">
        <v>419</v>
      </c>
    </row>
    <row r="179" spans="1:5" x14ac:dyDescent="0.25">
      <c r="A179" s="2" t="s">
        <v>1360</v>
      </c>
      <c r="B179" s="2" t="s">
        <v>1361</v>
      </c>
      <c r="C179" s="2">
        <v>19202100718</v>
      </c>
      <c r="D179" s="2">
        <v>2.81</v>
      </c>
      <c r="E179" s="701" t="s">
        <v>419</v>
      </c>
    </row>
    <row r="180" spans="1:5" x14ac:dyDescent="0.25">
      <c r="A180" s="2" t="s">
        <v>1360</v>
      </c>
      <c r="B180" s="2" t="s">
        <v>1361</v>
      </c>
      <c r="C180" s="2">
        <v>19202100694</v>
      </c>
      <c r="D180" s="2">
        <v>2.65</v>
      </c>
      <c r="E180" s="701" t="s">
        <v>419</v>
      </c>
    </row>
    <row r="181" spans="1:5" x14ac:dyDescent="0.25">
      <c r="A181" s="2" t="s">
        <v>1360</v>
      </c>
      <c r="B181" s="2" t="s">
        <v>1361</v>
      </c>
      <c r="C181" s="2">
        <v>19202100707</v>
      </c>
      <c r="D181" s="2">
        <v>2.58</v>
      </c>
      <c r="E181" s="701" t="s">
        <v>419</v>
      </c>
    </row>
    <row r="182" spans="1:5" x14ac:dyDescent="0.25">
      <c r="A182" s="2" t="s">
        <v>1360</v>
      </c>
      <c r="B182" s="2" t="s">
        <v>1361</v>
      </c>
      <c r="C182" s="2">
        <v>19202100749</v>
      </c>
      <c r="D182" s="2">
        <v>2.54</v>
      </c>
      <c r="E182" s="701" t="s">
        <v>419</v>
      </c>
    </row>
    <row r="183" spans="1:5" x14ac:dyDescent="0.25">
      <c r="A183" s="2" t="s">
        <v>1360</v>
      </c>
      <c r="B183" s="2" t="s">
        <v>1361</v>
      </c>
      <c r="C183" s="2">
        <v>19202100722</v>
      </c>
      <c r="D183" s="2">
        <v>2.5299999999999998</v>
      </c>
      <c r="E183" s="701" t="s">
        <v>419</v>
      </c>
    </row>
    <row r="184" spans="1:5" x14ac:dyDescent="0.25">
      <c r="A184" s="2" t="s">
        <v>1360</v>
      </c>
      <c r="B184" s="2" t="s">
        <v>1361</v>
      </c>
      <c r="C184" s="2">
        <v>19202100748</v>
      </c>
      <c r="D184" s="2">
        <v>2.48</v>
      </c>
      <c r="E184" s="683" t="s">
        <v>420</v>
      </c>
    </row>
    <row r="185" spans="1:5" x14ac:dyDescent="0.25">
      <c r="A185" s="2" t="s">
        <v>1360</v>
      </c>
      <c r="B185" s="2" t="s">
        <v>1361</v>
      </c>
      <c r="C185" s="2">
        <v>19202100750</v>
      </c>
      <c r="D185" s="2">
        <v>2.35</v>
      </c>
      <c r="E185" s="683" t="s">
        <v>420</v>
      </c>
    </row>
    <row r="186" spans="1:5" x14ac:dyDescent="0.25">
      <c r="A186" s="2" t="s">
        <v>1360</v>
      </c>
      <c r="B186" s="2" t="s">
        <v>1361</v>
      </c>
      <c r="C186" s="2">
        <v>19202100745</v>
      </c>
      <c r="D186" s="2">
        <v>2.21</v>
      </c>
      <c r="E186" s="683" t="s">
        <v>420</v>
      </c>
    </row>
    <row r="187" spans="1:5" x14ac:dyDescent="0.25">
      <c r="A187" s="2" t="s">
        <v>1423</v>
      </c>
      <c r="B187" s="2" t="s">
        <v>1422</v>
      </c>
      <c r="C187" s="2">
        <v>19202101463</v>
      </c>
      <c r="D187" s="2">
        <v>4.05</v>
      </c>
      <c r="E187" s="701" t="s">
        <v>419</v>
      </c>
    </row>
    <row r="188" spans="1:5" x14ac:dyDescent="0.25">
      <c r="A188" s="2" t="s">
        <v>1423</v>
      </c>
      <c r="B188" s="2" t="s">
        <v>1422</v>
      </c>
      <c r="C188" s="2">
        <v>19202101460</v>
      </c>
      <c r="D188" s="2">
        <v>3.9</v>
      </c>
      <c r="E188" s="701" t="s">
        <v>419</v>
      </c>
    </row>
    <row r="189" spans="1:5" x14ac:dyDescent="0.25">
      <c r="A189" s="2" t="s">
        <v>1423</v>
      </c>
      <c r="B189" s="2" t="s">
        <v>1422</v>
      </c>
      <c r="C189" s="2">
        <v>19202101461</v>
      </c>
      <c r="D189" s="2">
        <v>3.58</v>
      </c>
      <c r="E189" s="701" t="s">
        <v>419</v>
      </c>
    </row>
    <row r="190" spans="1:5" x14ac:dyDescent="0.25">
      <c r="A190" s="2" t="s">
        <v>1423</v>
      </c>
      <c r="B190" s="2" t="s">
        <v>1422</v>
      </c>
      <c r="C190" s="2">
        <v>19202101462</v>
      </c>
      <c r="D190" s="2">
        <v>3.37</v>
      </c>
      <c r="E190" s="701" t="s">
        <v>419</v>
      </c>
    </row>
    <row r="191" spans="1:5" x14ac:dyDescent="0.25">
      <c r="A191" s="2" t="s">
        <v>1423</v>
      </c>
      <c r="B191" s="2" t="s">
        <v>1422</v>
      </c>
      <c r="C191" s="2">
        <v>19202101409</v>
      </c>
      <c r="D191" s="2">
        <v>3.01</v>
      </c>
      <c r="E191" s="701" t="s">
        <v>419</v>
      </c>
    </row>
    <row r="192" spans="1:5" x14ac:dyDescent="0.25">
      <c r="A192" s="2" t="s">
        <v>1423</v>
      </c>
      <c r="B192" s="2" t="s">
        <v>1456</v>
      </c>
      <c r="C192" s="2">
        <v>19202101452</v>
      </c>
      <c r="D192" s="2">
        <v>4.08</v>
      </c>
      <c r="E192" s="701" t="s">
        <v>419</v>
      </c>
    </row>
    <row r="193" spans="1:5" x14ac:dyDescent="0.25">
      <c r="A193" s="2" t="s">
        <v>1423</v>
      </c>
      <c r="B193" s="2" t="s">
        <v>1456</v>
      </c>
      <c r="C193" s="2">
        <v>19202101456</v>
      </c>
      <c r="D193" s="2">
        <v>4.0599999999999996</v>
      </c>
      <c r="E193" s="701" t="s">
        <v>419</v>
      </c>
    </row>
    <row r="194" spans="1:5" x14ac:dyDescent="0.25">
      <c r="A194" s="2" t="s">
        <v>1423</v>
      </c>
      <c r="B194" s="2" t="s">
        <v>1456</v>
      </c>
      <c r="C194" s="2">
        <v>19202101455</v>
      </c>
      <c r="D194" s="2">
        <v>3.76</v>
      </c>
      <c r="E194" s="701" t="s">
        <v>419</v>
      </c>
    </row>
    <row r="195" spans="1:5" x14ac:dyDescent="0.25">
      <c r="A195" s="2" t="s">
        <v>1423</v>
      </c>
      <c r="B195" s="2" t="s">
        <v>1456</v>
      </c>
      <c r="C195" s="2">
        <v>19202101453</v>
      </c>
      <c r="D195" s="2">
        <v>3.69</v>
      </c>
      <c r="E195" s="701" t="s">
        <v>419</v>
      </c>
    </row>
    <row r="196" spans="1:5" x14ac:dyDescent="0.25">
      <c r="A196" s="2" t="s">
        <v>1423</v>
      </c>
      <c r="B196" s="2" t="s">
        <v>1456</v>
      </c>
      <c r="C196" s="2">
        <v>19202101457</v>
      </c>
      <c r="D196" s="2">
        <v>3.69</v>
      </c>
      <c r="E196" s="701" t="s">
        <v>419</v>
      </c>
    </row>
    <row r="197" spans="1:5" x14ac:dyDescent="0.25">
      <c r="A197" s="2" t="s">
        <v>1423</v>
      </c>
      <c r="B197" s="2" t="s">
        <v>1456</v>
      </c>
      <c r="C197" s="2">
        <v>19202101458</v>
      </c>
      <c r="D197" s="2">
        <v>3.65</v>
      </c>
      <c r="E197" s="701" t="s">
        <v>419</v>
      </c>
    </row>
    <row r="198" spans="1:5" x14ac:dyDescent="0.25">
      <c r="A198" s="2" t="s">
        <v>1423</v>
      </c>
      <c r="B198" s="2" t="s">
        <v>1456</v>
      </c>
      <c r="C198" s="2">
        <v>19202101411</v>
      </c>
      <c r="D198" s="2">
        <v>3.63</v>
      </c>
      <c r="E198" s="701" t="s">
        <v>419</v>
      </c>
    </row>
    <row r="199" spans="1:5" x14ac:dyDescent="0.25">
      <c r="A199" s="2" t="s">
        <v>1423</v>
      </c>
      <c r="B199" s="2" t="s">
        <v>1456</v>
      </c>
      <c r="C199" s="2">
        <v>19202101436</v>
      </c>
      <c r="D199" s="2">
        <v>3.58</v>
      </c>
      <c r="E199" s="683" t="s">
        <v>420</v>
      </c>
    </row>
    <row r="200" spans="1:5" x14ac:dyDescent="0.25">
      <c r="A200" s="2" t="s">
        <v>1423</v>
      </c>
      <c r="B200" s="2" t="s">
        <v>1456</v>
      </c>
      <c r="C200" s="2">
        <v>19202101423</v>
      </c>
      <c r="D200" s="2">
        <v>3.32</v>
      </c>
      <c r="E200" s="683" t="s">
        <v>420</v>
      </c>
    </row>
    <row r="201" spans="1:5" x14ac:dyDescent="0.25">
      <c r="A201" s="2" t="s">
        <v>1423</v>
      </c>
      <c r="B201" s="2" t="s">
        <v>1456</v>
      </c>
      <c r="C201" s="2">
        <v>19202101459</v>
      </c>
      <c r="D201" s="2">
        <v>3.18</v>
      </c>
      <c r="E201" s="683" t="s">
        <v>420</v>
      </c>
    </row>
    <row r="202" spans="1:5" x14ac:dyDescent="0.25">
      <c r="A202" s="2" t="s">
        <v>1423</v>
      </c>
      <c r="B202" s="179" t="s">
        <v>1456</v>
      </c>
      <c r="C202" s="179">
        <v>19202101430</v>
      </c>
      <c r="D202" s="179">
        <v>2.85</v>
      </c>
      <c r="E202" s="683" t="s">
        <v>420</v>
      </c>
    </row>
    <row r="203" spans="1:5" x14ac:dyDescent="0.25">
      <c r="A203" s="829" t="s">
        <v>1514</v>
      </c>
      <c r="B203" s="655" t="s">
        <v>430</v>
      </c>
      <c r="C203" s="843">
        <v>19202200047</v>
      </c>
      <c r="D203" s="843">
        <v>3.62</v>
      </c>
      <c r="E203" s="701" t="s">
        <v>419</v>
      </c>
    </row>
    <row r="204" spans="1:5" x14ac:dyDescent="0.25">
      <c r="A204" s="829" t="s">
        <v>1514</v>
      </c>
      <c r="B204" s="655" t="s">
        <v>430</v>
      </c>
      <c r="C204" s="843">
        <v>19202200059</v>
      </c>
      <c r="D204" s="843">
        <v>3.23</v>
      </c>
      <c r="E204" s="701" t="s">
        <v>419</v>
      </c>
    </row>
    <row r="205" spans="1:5" x14ac:dyDescent="0.25">
      <c r="A205" s="829" t="s">
        <v>1514</v>
      </c>
      <c r="B205" s="655" t="s">
        <v>430</v>
      </c>
      <c r="C205" s="843">
        <v>19202200076</v>
      </c>
      <c r="D205" s="843">
        <v>3.13</v>
      </c>
      <c r="E205" s="701" t="s">
        <v>419</v>
      </c>
    </row>
    <row r="206" spans="1:5" x14ac:dyDescent="0.25">
      <c r="A206" s="829" t="s">
        <v>1514</v>
      </c>
      <c r="B206" s="655" t="s">
        <v>430</v>
      </c>
      <c r="C206" s="843">
        <v>19202200079</v>
      </c>
      <c r="D206" s="843">
        <v>2.84</v>
      </c>
      <c r="E206" s="701" t="s">
        <v>419</v>
      </c>
    </row>
    <row r="207" spans="1:5" x14ac:dyDescent="0.25">
      <c r="A207" s="829" t="s">
        <v>1514</v>
      </c>
      <c r="B207" s="655" t="s">
        <v>430</v>
      </c>
      <c r="C207" s="843">
        <v>19202200058</v>
      </c>
      <c r="D207" s="843">
        <v>2.82</v>
      </c>
      <c r="E207" s="701" t="s">
        <v>419</v>
      </c>
    </row>
    <row r="208" spans="1:5" x14ac:dyDescent="0.25">
      <c r="A208" s="829" t="s">
        <v>1514</v>
      </c>
      <c r="B208" s="655" t="s">
        <v>430</v>
      </c>
      <c r="C208" s="843">
        <v>19202200065</v>
      </c>
      <c r="D208" s="843">
        <v>2.8</v>
      </c>
      <c r="E208" s="701" t="s">
        <v>419</v>
      </c>
    </row>
    <row r="209" spans="1:5" x14ac:dyDescent="0.25">
      <c r="A209" s="829" t="s">
        <v>1514</v>
      </c>
      <c r="B209" s="655" t="s">
        <v>430</v>
      </c>
      <c r="C209" s="843">
        <v>19202200088</v>
      </c>
      <c r="D209" s="843">
        <v>2.79</v>
      </c>
      <c r="E209" s="701" t="s">
        <v>419</v>
      </c>
    </row>
    <row r="210" spans="1:5" x14ac:dyDescent="0.25">
      <c r="A210" s="829" t="s">
        <v>1514</v>
      </c>
      <c r="B210" s="655" t="s">
        <v>430</v>
      </c>
      <c r="C210" s="843">
        <v>19202200064</v>
      </c>
      <c r="D210" s="843">
        <v>2.77</v>
      </c>
      <c r="E210" s="701" t="s">
        <v>419</v>
      </c>
    </row>
    <row r="211" spans="1:5" x14ac:dyDescent="0.25">
      <c r="A211" s="829" t="s">
        <v>1514</v>
      </c>
      <c r="B211" s="655" t="s">
        <v>430</v>
      </c>
      <c r="C211" s="843">
        <v>19202200078</v>
      </c>
      <c r="D211" s="843">
        <v>2.67</v>
      </c>
      <c r="E211" s="701" t="s">
        <v>419</v>
      </c>
    </row>
    <row r="212" spans="1:5" x14ac:dyDescent="0.25">
      <c r="A212" s="829" t="s">
        <v>1514</v>
      </c>
      <c r="B212" s="655" t="s">
        <v>430</v>
      </c>
      <c r="C212" s="843">
        <v>19202200089</v>
      </c>
      <c r="D212" s="843">
        <v>2.6</v>
      </c>
      <c r="E212" s="701" t="s">
        <v>419</v>
      </c>
    </row>
    <row r="213" spans="1:5" x14ac:dyDescent="0.25">
      <c r="A213" s="829" t="s">
        <v>1514</v>
      </c>
      <c r="B213" s="655" t="s">
        <v>430</v>
      </c>
      <c r="C213" s="843">
        <v>19202200075</v>
      </c>
      <c r="D213" s="843">
        <v>2.58</v>
      </c>
      <c r="E213" s="701" t="s">
        <v>419</v>
      </c>
    </row>
    <row r="214" spans="1:5" x14ac:dyDescent="0.25">
      <c r="A214" s="829" t="s">
        <v>1514</v>
      </c>
      <c r="B214" s="655" t="s">
        <v>430</v>
      </c>
      <c r="C214" s="843">
        <v>19202200084</v>
      </c>
      <c r="D214" s="843">
        <v>2.5299999999999998</v>
      </c>
      <c r="E214" s="683" t="s">
        <v>420</v>
      </c>
    </row>
    <row r="215" spans="1:5" x14ac:dyDescent="0.25">
      <c r="A215" s="829" t="s">
        <v>1514</v>
      </c>
      <c r="B215" s="655" t="s">
        <v>430</v>
      </c>
      <c r="C215" s="843">
        <v>19202200071</v>
      </c>
      <c r="D215" s="843">
        <v>2.4500000000000002</v>
      </c>
      <c r="E215" s="683" t="s">
        <v>420</v>
      </c>
    </row>
    <row r="216" spans="1:5" x14ac:dyDescent="0.25">
      <c r="A216" s="829" t="s">
        <v>1514</v>
      </c>
      <c r="B216" s="655" t="s">
        <v>430</v>
      </c>
      <c r="C216" s="843">
        <v>19202200073</v>
      </c>
      <c r="D216" s="843">
        <v>2.44</v>
      </c>
      <c r="E216" s="683" t="s">
        <v>420</v>
      </c>
    </row>
    <row r="217" spans="1:5" x14ac:dyDescent="0.25">
      <c r="A217" s="829" t="s">
        <v>1514</v>
      </c>
      <c r="B217" s="655" t="s">
        <v>430</v>
      </c>
      <c r="C217" s="843">
        <v>19202200062</v>
      </c>
      <c r="D217" s="843">
        <v>2.2999999999999998</v>
      </c>
      <c r="E217" s="683" t="s">
        <v>420</v>
      </c>
    </row>
    <row r="218" spans="1:5" x14ac:dyDescent="0.25">
      <c r="A218" s="829" t="s">
        <v>1514</v>
      </c>
      <c r="B218" s="655" t="s">
        <v>430</v>
      </c>
      <c r="C218" s="843">
        <v>19202200090</v>
      </c>
      <c r="D218" s="843">
        <v>2.09</v>
      </c>
      <c r="E218" s="683" t="s">
        <v>420</v>
      </c>
    </row>
    <row r="219" spans="1:5" x14ac:dyDescent="0.25">
      <c r="A219" s="829" t="s">
        <v>1514</v>
      </c>
      <c r="B219" s="655" t="s">
        <v>430</v>
      </c>
      <c r="C219" s="843">
        <v>19202200085</v>
      </c>
      <c r="D219" s="843">
        <v>2.0299999999999998</v>
      </c>
      <c r="E219" s="683" t="s">
        <v>420</v>
      </c>
    </row>
    <row r="220" spans="1:5" x14ac:dyDescent="0.25">
      <c r="A220" s="829" t="s">
        <v>1514</v>
      </c>
      <c r="B220" s="655" t="s">
        <v>430</v>
      </c>
      <c r="C220" s="843">
        <v>19202200046</v>
      </c>
      <c r="D220" s="843">
        <v>1.87</v>
      </c>
      <c r="E220" s="683" t="s">
        <v>420</v>
      </c>
    </row>
    <row r="221" spans="1:5" x14ac:dyDescent="0.25">
      <c r="A221" s="829" t="s">
        <v>1514</v>
      </c>
      <c r="B221" s="655" t="s">
        <v>430</v>
      </c>
      <c r="C221" s="843">
        <v>19202200091</v>
      </c>
      <c r="D221" s="843">
        <v>1.71</v>
      </c>
      <c r="E221" s="683" t="s">
        <v>420</v>
      </c>
    </row>
  </sheetData>
  <mergeCells count="1">
    <mergeCell ref="A1:E1"/>
  </mergeCells>
  <hyperlinks>
    <hyperlink ref="C136" r:id="rId1" location="/router?komponent=taotlus&amp;id=906808&amp;kuva=ava" display="https://pms.arib.pria.ee/pms-menetlus/ - /router?komponent=taotlus&amp;id=906808&amp;kuva=ava"/>
    <hyperlink ref="C137" r:id="rId2" location="/router?komponent=taotlus&amp;id=883622&amp;kuva=ava" display="https://pms.arib.pria.ee/pms-menetlus/ - /router?komponent=taotlus&amp;id=883622&amp;kuva=ava"/>
    <hyperlink ref="C138" r:id="rId3" location="/router?komponent=taotlus&amp;id=909986&amp;kuva=ava" display="https://pms.arib.pria.ee/pms-menetlus/ - /router?komponent=taotlus&amp;id=909986&amp;kuva=ava"/>
    <hyperlink ref="C139" r:id="rId4" location="/router?komponent=taotlus&amp;id=913144&amp;kuva=ava" display="https://pms.arib.pria.ee/pms-menetlus/ - /router?komponent=taotlus&amp;id=913144&amp;kuva=ava"/>
    <hyperlink ref="C140" r:id="rId5" location="/router?komponent=taotlus&amp;id=902979&amp;kuva=ava" display="https://pms.arib.pria.ee/pms-menetlus/ - /router?komponent=taotlus&amp;id=902979&amp;kuva=ava"/>
    <hyperlink ref="C142" r:id="rId6" location="/router?komponent=taotlus&amp;id=903161&amp;kuva=ava" display="https://pms.arib.pria.ee/pms-menetlus/ - /router?komponent=taotlus&amp;id=903161&amp;kuva=ava"/>
    <hyperlink ref="C143" r:id="rId7" location="/router?komponent=taotlus&amp;id=913608&amp;kuva=ava" display="https://pms.arib.pria.ee/pms-menetlus/ - /router?komponent=taotlus&amp;id=913608&amp;kuva=ava"/>
    <hyperlink ref="C144" r:id="rId8" location="/router?komponent=taotlus&amp;id=925510&amp;kuva=ava" display="https://pms.arib.pria.ee/pms-menetlus/ - /router?komponent=taotlus&amp;id=925510&amp;kuva=ava"/>
    <hyperlink ref="C141" r:id="rId9" location="/router?komponent=taotlus&amp;id=912390&amp;kuva=ava" display="https://pms.arib.pria.ee/pms-menetlus/ - /router?komponent=taotlus&amp;id=912390&amp;kuva=ava"/>
    <hyperlink ref="C145" r:id="rId10" location="/router?komponent=taotlus&amp;id=914400&amp;kuva=ava" display="https://pms.arib.pria.ee/pms-menetlus/ - /router?komponent=taotlus&amp;id=914400&amp;kuva=ava"/>
    <hyperlink ref="C146" r:id="rId11" location="/router?komponent=taotlus&amp;id=908749&amp;kuva=ava" display="https://pms.arib.pria.ee/pms-menetlus/ - /router?komponent=taotlus&amp;id=908749&amp;kuva=ava"/>
  </hyperlink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4"/>
  <sheetViews>
    <sheetView zoomScaleNormal="100" workbookViewId="0">
      <pane ySplit="2" topLeftCell="A536" activePane="bottomLeft" state="frozen"/>
      <selection pane="bottomLeft" activeCell="C564" sqref="C564"/>
    </sheetView>
  </sheetViews>
  <sheetFormatPr defaultRowHeight="15" x14ac:dyDescent="0.25"/>
  <cols>
    <col min="1" max="1" width="16.140625" bestFit="1" customWidth="1"/>
    <col min="2" max="2" width="50" style="20" customWidth="1"/>
    <col min="3" max="3" width="24.5703125" style="10" customWidth="1"/>
    <col min="4" max="4" width="13.140625" bestFit="1" customWidth="1"/>
    <col min="5" max="5" width="18" customWidth="1"/>
  </cols>
  <sheetData>
    <row r="1" spans="1:5" ht="15.75" x14ac:dyDescent="0.25">
      <c r="A1" s="847" t="s">
        <v>17</v>
      </c>
      <c r="B1" s="848"/>
      <c r="C1" s="848"/>
      <c r="D1" s="848"/>
      <c r="E1" s="849"/>
    </row>
    <row r="2" spans="1:5" ht="15.75" thickBot="1" x14ac:dyDescent="0.3">
      <c r="A2" s="149" t="s">
        <v>6</v>
      </c>
      <c r="B2" s="109" t="s">
        <v>2</v>
      </c>
      <c r="C2" s="110" t="s">
        <v>0</v>
      </c>
      <c r="D2" s="108" t="s">
        <v>1</v>
      </c>
      <c r="E2" s="57" t="s">
        <v>464</v>
      </c>
    </row>
    <row r="3" spans="1:5" x14ac:dyDescent="0.25">
      <c r="A3" s="58" t="s">
        <v>160</v>
      </c>
      <c r="B3" s="99" t="s">
        <v>111</v>
      </c>
      <c r="C3" s="127" t="s">
        <v>113</v>
      </c>
      <c r="D3" s="89">
        <v>3.1829999999999998</v>
      </c>
      <c r="E3" s="39" t="s">
        <v>419</v>
      </c>
    </row>
    <row r="4" spans="1:5" ht="15.75" thickBot="1" x14ac:dyDescent="0.3">
      <c r="A4" s="61" t="s">
        <v>160</v>
      </c>
      <c r="B4" s="105" t="s">
        <v>111</v>
      </c>
      <c r="C4" s="129" t="s">
        <v>112</v>
      </c>
      <c r="D4" s="90">
        <v>3.117</v>
      </c>
      <c r="E4" s="87" t="s">
        <v>419</v>
      </c>
    </row>
    <row r="5" spans="1:5" x14ac:dyDescent="0.25">
      <c r="A5" s="58" t="s">
        <v>160</v>
      </c>
      <c r="B5" s="99" t="s">
        <v>114</v>
      </c>
      <c r="C5" s="127">
        <v>619216490136</v>
      </c>
      <c r="D5" s="89">
        <v>3.6</v>
      </c>
      <c r="E5" s="39" t="s">
        <v>419</v>
      </c>
    </row>
    <row r="6" spans="1:5" x14ac:dyDescent="0.25">
      <c r="A6" s="60" t="s">
        <v>160</v>
      </c>
      <c r="B6" s="103" t="s">
        <v>114</v>
      </c>
      <c r="C6" s="16" t="s">
        <v>129</v>
      </c>
      <c r="D6" s="8">
        <v>3.5830000000000002</v>
      </c>
      <c r="E6" s="41" t="s">
        <v>419</v>
      </c>
    </row>
    <row r="7" spans="1:5" x14ac:dyDescent="0.25">
      <c r="A7" s="60" t="s">
        <v>160</v>
      </c>
      <c r="B7" s="29" t="s">
        <v>114</v>
      </c>
      <c r="C7" s="16" t="s">
        <v>115</v>
      </c>
      <c r="D7" s="19">
        <v>3.5169999999999999</v>
      </c>
      <c r="E7" s="41" t="s">
        <v>419</v>
      </c>
    </row>
    <row r="8" spans="1:5" x14ac:dyDescent="0.25">
      <c r="A8" s="60" t="s">
        <v>160</v>
      </c>
      <c r="B8" s="103" t="s">
        <v>114</v>
      </c>
      <c r="C8" s="16" t="s">
        <v>130</v>
      </c>
      <c r="D8" s="8">
        <v>3.5</v>
      </c>
      <c r="E8" s="41" t="s">
        <v>419</v>
      </c>
    </row>
    <row r="9" spans="1:5" x14ac:dyDescent="0.25">
      <c r="A9" s="60" t="s">
        <v>160</v>
      </c>
      <c r="B9" s="103" t="s">
        <v>114</v>
      </c>
      <c r="C9" s="16" t="s">
        <v>131</v>
      </c>
      <c r="D9" s="8">
        <v>3.5</v>
      </c>
      <c r="E9" s="41" t="s">
        <v>419</v>
      </c>
    </row>
    <row r="10" spans="1:5" x14ac:dyDescent="0.25">
      <c r="A10" s="60" t="s">
        <v>160</v>
      </c>
      <c r="B10" s="29" t="s">
        <v>114</v>
      </c>
      <c r="C10" s="18" t="s">
        <v>122</v>
      </c>
      <c r="D10" s="8">
        <v>3.45</v>
      </c>
      <c r="E10" s="41" t="s">
        <v>419</v>
      </c>
    </row>
    <row r="11" spans="1:5" x14ac:dyDescent="0.25">
      <c r="A11" s="60" t="s">
        <v>160</v>
      </c>
      <c r="B11" s="103" t="s">
        <v>114</v>
      </c>
      <c r="C11" s="16" t="s">
        <v>132</v>
      </c>
      <c r="D11" s="8">
        <v>3.4</v>
      </c>
      <c r="E11" s="41" t="s">
        <v>419</v>
      </c>
    </row>
    <row r="12" spans="1:5" x14ac:dyDescent="0.25">
      <c r="A12" s="60" t="s">
        <v>160</v>
      </c>
      <c r="B12" s="29" t="s">
        <v>114</v>
      </c>
      <c r="C12" s="16" t="s">
        <v>123</v>
      </c>
      <c r="D12" s="8">
        <v>3.383</v>
      </c>
      <c r="E12" s="41" t="s">
        <v>419</v>
      </c>
    </row>
    <row r="13" spans="1:5" x14ac:dyDescent="0.25">
      <c r="A13" s="60" t="s">
        <v>160</v>
      </c>
      <c r="B13" s="29" t="s">
        <v>114</v>
      </c>
      <c r="C13" s="16" t="s">
        <v>116</v>
      </c>
      <c r="D13" s="8">
        <v>3.367</v>
      </c>
      <c r="E13" s="41" t="s">
        <v>419</v>
      </c>
    </row>
    <row r="14" spans="1:5" x14ac:dyDescent="0.25">
      <c r="A14" s="60" t="s">
        <v>160</v>
      </c>
      <c r="B14" s="103" t="s">
        <v>114</v>
      </c>
      <c r="C14" s="16" t="s">
        <v>133</v>
      </c>
      <c r="D14" s="8">
        <v>3.367</v>
      </c>
      <c r="E14" s="41" t="s">
        <v>419</v>
      </c>
    </row>
    <row r="15" spans="1:5" x14ac:dyDescent="0.25">
      <c r="A15" s="60" t="s">
        <v>160</v>
      </c>
      <c r="B15" s="29" t="s">
        <v>114</v>
      </c>
      <c r="C15" s="16" t="s">
        <v>124</v>
      </c>
      <c r="D15" s="8">
        <v>3.3420000000000001</v>
      </c>
      <c r="E15" s="41" t="s">
        <v>419</v>
      </c>
    </row>
    <row r="16" spans="1:5" x14ac:dyDescent="0.25">
      <c r="A16" s="60" t="s">
        <v>160</v>
      </c>
      <c r="B16" s="29" t="s">
        <v>114</v>
      </c>
      <c r="C16" s="16" t="s">
        <v>125</v>
      </c>
      <c r="D16" s="8">
        <v>3.32</v>
      </c>
      <c r="E16" s="41" t="s">
        <v>419</v>
      </c>
    </row>
    <row r="17" spans="1:5" x14ac:dyDescent="0.25">
      <c r="A17" s="60" t="s">
        <v>160</v>
      </c>
      <c r="B17" s="29" t="s">
        <v>114</v>
      </c>
      <c r="C17" s="16" t="s">
        <v>117</v>
      </c>
      <c r="D17" s="8">
        <v>3.25</v>
      </c>
      <c r="E17" s="41" t="s">
        <v>419</v>
      </c>
    </row>
    <row r="18" spans="1:5" x14ac:dyDescent="0.25">
      <c r="A18" s="60" t="s">
        <v>160</v>
      </c>
      <c r="B18" s="29" t="s">
        <v>114</v>
      </c>
      <c r="C18" s="16" t="s">
        <v>118</v>
      </c>
      <c r="D18" s="8">
        <v>3.2170000000000001</v>
      </c>
      <c r="E18" s="41" t="s">
        <v>419</v>
      </c>
    </row>
    <row r="19" spans="1:5" x14ac:dyDescent="0.25">
      <c r="A19" s="60" t="s">
        <v>160</v>
      </c>
      <c r="B19" s="29" t="s">
        <v>114</v>
      </c>
      <c r="C19" s="16" t="s">
        <v>119</v>
      </c>
      <c r="D19" s="8">
        <v>3.1669999999999998</v>
      </c>
      <c r="E19" s="41" t="s">
        <v>419</v>
      </c>
    </row>
    <row r="20" spans="1:5" x14ac:dyDescent="0.25">
      <c r="A20" s="60" t="s">
        <v>160</v>
      </c>
      <c r="B20" s="103" t="s">
        <v>114</v>
      </c>
      <c r="C20" s="16">
        <v>619216490169</v>
      </c>
      <c r="D20" s="8">
        <v>3.0329999999999999</v>
      </c>
      <c r="E20" s="66" t="s">
        <v>420</v>
      </c>
    </row>
    <row r="21" spans="1:5" x14ac:dyDescent="0.25">
      <c r="A21" s="60" t="s">
        <v>160</v>
      </c>
      <c r="B21" s="29" t="s">
        <v>114</v>
      </c>
      <c r="C21" s="16" t="s">
        <v>120</v>
      </c>
      <c r="D21" s="8">
        <v>3</v>
      </c>
      <c r="E21" s="41" t="s">
        <v>419</v>
      </c>
    </row>
    <row r="22" spans="1:5" x14ac:dyDescent="0.25">
      <c r="A22" s="60" t="s">
        <v>160</v>
      </c>
      <c r="B22" s="29" t="s">
        <v>114</v>
      </c>
      <c r="C22" s="16" t="s">
        <v>126</v>
      </c>
      <c r="D22" s="8">
        <v>2.9569999999999999</v>
      </c>
      <c r="E22" s="41" t="s">
        <v>419</v>
      </c>
    </row>
    <row r="23" spans="1:5" x14ac:dyDescent="0.25">
      <c r="A23" s="60" t="s">
        <v>160</v>
      </c>
      <c r="B23" s="103" t="s">
        <v>114</v>
      </c>
      <c r="C23" s="16">
        <v>619216490170</v>
      </c>
      <c r="D23" s="8">
        <v>2.9329999999999998</v>
      </c>
      <c r="E23" s="66" t="s">
        <v>420</v>
      </c>
    </row>
    <row r="24" spans="1:5" x14ac:dyDescent="0.25">
      <c r="A24" s="60" t="s">
        <v>160</v>
      </c>
      <c r="B24" s="103" t="s">
        <v>114</v>
      </c>
      <c r="C24" s="16">
        <v>619216490171</v>
      </c>
      <c r="D24" s="8">
        <v>2.85</v>
      </c>
      <c r="E24" s="66" t="s">
        <v>420</v>
      </c>
    </row>
    <row r="25" spans="1:5" x14ac:dyDescent="0.25">
      <c r="A25" s="60" t="s">
        <v>160</v>
      </c>
      <c r="B25" s="103" t="s">
        <v>114</v>
      </c>
      <c r="C25" s="16">
        <v>619216490172</v>
      </c>
      <c r="D25" s="8">
        <v>2.7669999999999999</v>
      </c>
      <c r="E25" s="66" t="s">
        <v>420</v>
      </c>
    </row>
    <row r="26" spans="1:5" x14ac:dyDescent="0.25">
      <c r="A26" s="60" t="s">
        <v>160</v>
      </c>
      <c r="B26" s="29" t="s">
        <v>114</v>
      </c>
      <c r="C26" s="16" t="s">
        <v>121</v>
      </c>
      <c r="D26" s="8">
        <v>2.75</v>
      </c>
      <c r="E26" s="41" t="s">
        <v>419</v>
      </c>
    </row>
    <row r="27" spans="1:5" x14ac:dyDescent="0.25">
      <c r="A27" s="60" t="s">
        <v>160</v>
      </c>
      <c r="B27" s="103" t="s">
        <v>114</v>
      </c>
      <c r="C27" s="16">
        <v>619216490173</v>
      </c>
      <c r="D27" s="8">
        <v>2.6669999999999998</v>
      </c>
      <c r="E27" s="66" t="s">
        <v>420</v>
      </c>
    </row>
    <row r="28" spans="1:5" x14ac:dyDescent="0.25">
      <c r="A28" s="60" t="s">
        <v>160</v>
      </c>
      <c r="B28" s="29" t="s">
        <v>114</v>
      </c>
      <c r="C28" s="16" t="s">
        <v>127</v>
      </c>
      <c r="D28" s="8">
        <v>2.66</v>
      </c>
      <c r="E28" s="41" t="s">
        <v>419</v>
      </c>
    </row>
    <row r="29" spans="1:5" x14ac:dyDescent="0.25">
      <c r="A29" s="60" t="s">
        <v>160</v>
      </c>
      <c r="B29" s="103" t="s">
        <v>114</v>
      </c>
      <c r="C29" s="16">
        <v>619216490174</v>
      </c>
      <c r="D29" s="8">
        <v>2.65</v>
      </c>
      <c r="E29" s="66" t="s">
        <v>420</v>
      </c>
    </row>
    <row r="30" spans="1:5" x14ac:dyDescent="0.25">
      <c r="A30" s="60" t="s">
        <v>160</v>
      </c>
      <c r="B30" s="103" t="s">
        <v>114</v>
      </c>
      <c r="C30" s="16">
        <v>619216490176</v>
      </c>
      <c r="D30" s="8">
        <v>2.633</v>
      </c>
      <c r="E30" s="66" t="s">
        <v>420</v>
      </c>
    </row>
    <row r="31" spans="1:5" x14ac:dyDescent="0.25">
      <c r="A31" s="60" t="s">
        <v>160</v>
      </c>
      <c r="B31" s="103" t="s">
        <v>114</v>
      </c>
      <c r="C31" s="16">
        <v>619216780175</v>
      </c>
      <c r="D31" s="19">
        <v>2.633</v>
      </c>
      <c r="E31" s="66" t="s">
        <v>420</v>
      </c>
    </row>
    <row r="32" spans="1:5" x14ac:dyDescent="0.25">
      <c r="A32" s="60" t="s">
        <v>160</v>
      </c>
      <c r="B32" s="29" t="s">
        <v>114</v>
      </c>
      <c r="C32" s="16" t="s">
        <v>128</v>
      </c>
      <c r="D32" s="8">
        <v>2.6</v>
      </c>
      <c r="E32" s="167" t="s">
        <v>420</v>
      </c>
    </row>
    <row r="33" spans="1:5" x14ac:dyDescent="0.25">
      <c r="A33" s="60" t="s">
        <v>160</v>
      </c>
      <c r="B33" s="103" t="s">
        <v>114</v>
      </c>
      <c r="C33" s="16">
        <v>619216490177</v>
      </c>
      <c r="D33" s="19">
        <v>2.5670000000000002</v>
      </c>
      <c r="E33" s="66" t="s">
        <v>420</v>
      </c>
    </row>
    <row r="34" spans="1:5" x14ac:dyDescent="0.25">
      <c r="A34" s="60" t="s">
        <v>160</v>
      </c>
      <c r="B34" s="103" t="s">
        <v>114</v>
      </c>
      <c r="C34" s="16">
        <v>619216370178</v>
      </c>
      <c r="D34" s="19">
        <v>2.5499999999999998</v>
      </c>
      <c r="E34" s="66" t="s">
        <v>420</v>
      </c>
    </row>
    <row r="35" spans="1:5" x14ac:dyDescent="0.25">
      <c r="A35" s="60" t="s">
        <v>160</v>
      </c>
      <c r="B35" s="29" t="s">
        <v>114</v>
      </c>
      <c r="C35" s="16">
        <v>619216490146</v>
      </c>
      <c r="D35" s="8">
        <v>2.5329999999999999</v>
      </c>
      <c r="E35" s="66" t="s">
        <v>420</v>
      </c>
    </row>
    <row r="36" spans="1:5" x14ac:dyDescent="0.25">
      <c r="A36" s="60" t="s">
        <v>160</v>
      </c>
      <c r="B36" s="29" t="s">
        <v>114</v>
      </c>
      <c r="C36" s="16">
        <v>619216490147</v>
      </c>
      <c r="D36" s="8">
        <v>2.5169999999999999</v>
      </c>
      <c r="E36" s="66" t="s">
        <v>420</v>
      </c>
    </row>
    <row r="37" spans="1:5" x14ac:dyDescent="0.25">
      <c r="A37" s="60" t="s">
        <v>160</v>
      </c>
      <c r="B37" s="29" t="s">
        <v>114</v>
      </c>
      <c r="C37" s="16">
        <v>619216490148</v>
      </c>
      <c r="D37" s="8">
        <v>2.5169999999999999</v>
      </c>
      <c r="E37" s="66" t="s">
        <v>420</v>
      </c>
    </row>
    <row r="38" spans="1:5" x14ac:dyDescent="0.25">
      <c r="A38" s="60" t="s">
        <v>160</v>
      </c>
      <c r="B38" s="103" t="s">
        <v>114</v>
      </c>
      <c r="C38" s="16">
        <v>619216490179</v>
      </c>
      <c r="D38" s="19">
        <v>2.5169999999999999</v>
      </c>
      <c r="E38" s="66" t="s">
        <v>420</v>
      </c>
    </row>
    <row r="39" spans="1:5" x14ac:dyDescent="0.25">
      <c r="A39" s="60" t="s">
        <v>160</v>
      </c>
      <c r="B39" s="29" t="s">
        <v>114</v>
      </c>
      <c r="C39" s="16">
        <v>619216490150</v>
      </c>
      <c r="D39" s="8">
        <v>2.3170000000000002</v>
      </c>
      <c r="E39" s="66" t="s">
        <v>420</v>
      </c>
    </row>
    <row r="40" spans="1:5" x14ac:dyDescent="0.25">
      <c r="A40" s="60" t="s">
        <v>160</v>
      </c>
      <c r="B40" s="103" t="s">
        <v>114</v>
      </c>
      <c r="C40" s="16">
        <v>619216490180</v>
      </c>
      <c r="D40" s="19">
        <v>2.2170000000000001</v>
      </c>
      <c r="E40" s="66" t="s">
        <v>420</v>
      </c>
    </row>
    <row r="41" spans="1:5" x14ac:dyDescent="0.25">
      <c r="A41" s="60" t="s">
        <v>160</v>
      </c>
      <c r="B41" s="103" t="s">
        <v>114</v>
      </c>
      <c r="C41" s="16">
        <v>619216490151</v>
      </c>
      <c r="D41" s="8">
        <v>2.2000000000000002</v>
      </c>
      <c r="E41" s="66" t="s">
        <v>420</v>
      </c>
    </row>
    <row r="42" spans="1:5" x14ac:dyDescent="0.25">
      <c r="A42" s="60" t="s">
        <v>160</v>
      </c>
      <c r="B42" s="103" t="s">
        <v>114</v>
      </c>
      <c r="C42" s="16">
        <v>619216490152</v>
      </c>
      <c r="D42" s="8">
        <v>2.15</v>
      </c>
      <c r="E42" s="66" t="s">
        <v>420</v>
      </c>
    </row>
    <row r="43" spans="1:5" x14ac:dyDescent="0.25">
      <c r="A43" s="60" t="s">
        <v>160</v>
      </c>
      <c r="B43" s="103" t="s">
        <v>114</v>
      </c>
      <c r="C43" s="16">
        <v>619216780153</v>
      </c>
      <c r="D43" s="19">
        <v>2.117</v>
      </c>
      <c r="E43" s="66" t="s">
        <v>420</v>
      </c>
    </row>
    <row r="44" spans="1:5" x14ac:dyDescent="0.25">
      <c r="A44" s="60" t="s">
        <v>160</v>
      </c>
      <c r="B44" s="29" t="s">
        <v>114</v>
      </c>
      <c r="C44" s="16">
        <v>619216490149</v>
      </c>
      <c r="D44" s="8">
        <v>2.077</v>
      </c>
      <c r="E44" s="66" t="s">
        <v>420</v>
      </c>
    </row>
    <row r="45" spans="1:5" x14ac:dyDescent="0.25">
      <c r="A45" s="60" t="s">
        <v>160</v>
      </c>
      <c r="B45" s="103" t="s">
        <v>114</v>
      </c>
      <c r="C45" s="16">
        <v>619216490154</v>
      </c>
      <c r="D45" s="8">
        <v>2.0169999999999999</v>
      </c>
      <c r="E45" s="66" t="s">
        <v>420</v>
      </c>
    </row>
    <row r="46" spans="1:5" x14ac:dyDescent="0.25">
      <c r="A46" s="60" t="s">
        <v>160</v>
      </c>
      <c r="B46" s="103" t="s">
        <v>114</v>
      </c>
      <c r="C46" s="16">
        <v>619216490156</v>
      </c>
      <c r="D46" s="8">
        <v>1.867</v>
      </c>
      <c r="E46" s="66" t="s">
        <v>420</v>
      </c>
    </row>
    <row r="47" spans="1:5" ht="15.75" thickBot="1" x14ac:dyDescent="0.3">
      <c r="A47" s="61" t="s">
        <v>160</v>
      </c>
      <c r="B47" s="105" t="s">
        <v>114</v>
      </c>
      <c r="C47" s="129">
        <v>619216490155</v>
      </c>
      <c r="D47" s="90">
        <v>1.75</v>
      </c>
      <c r="E47" s="46" t="s">
        <v>420</v>
      </c>
    </row>
    <row r="48" spans="1:5" x14ac:dyDescent="0.25">
      <c r="A48" s="58" t="s">
        <v>160</v>
      </c>
      <c r="B48" s="104" t="s">
        <v>134</v>
      </c>
      <c r="C48" s="48" t="s">
        <v>139</v>
      </c>
      <c r="D48" s="89">
        <v>3.383</v>
      </c>
      <c r="E48" s="39" t="s">
        <v>419</v>
      </c>
    </row>
    <row r="49" spans="1:5" x14ac:dyDescent="0.25">
      <c r="A49" s="60" t="s">
        <v>160</v>
      </c>
      <c r="B49" s="29" t="s">
        <v>134</v>
      </c>
      <c r="C49" s="5" t="s">
        <v>135</v>
      </c>
      <c r="D49" s="2">
        <v>3.1669999999999998</v>
      </c>
      <c r="E49" s="41" t="s">
        <v>419</v>
      </c>
    </row>
    <row r="50" spans="1:5" x14ac:dyDescent="0.25">
      <c r="A50" s="60" t="s">
        <v>160</v>
      </c>
      <c r="B50" s="29" t="s">
        <v>134</v>
      </c>
      <c r="C50" s="5" t="s">
        <v>136</v>
      </c>
      <c r="D50" s="8">
        <v>2.9830000000000001</v>
      </c>
      <c r="E50" s="41" t="s">
        <v>419</v>
      </c>
    </row>
    <row r="51" spans="1:5" x14ac:dyDescent="0.25">
      <c r="A51" s="60" t="s">
        <v>160</v>
      </c>
      <c r="B51" s="29" t="s">
        <v>134</v>
      </c>
      <c r="C51" s="5" t="s">
        <v>137</v>
      </c>
      <c r="D51" s="8">
        <v>2.9830000000000001</v>
      </c>
      <c r="E51" s="41" t="s">
        <v>419</v>
      </c>
    </row>
    <row r="52" spans="1:5" x14ac:dyDescent="0.25">
      <c r="A52" s="60" t="s">
        <v>160</v>
      </c>
      <c r="B52" s="103" t="s">
        <v>134</v>
      </c>
      <c r="C52" s="5" t="s">
        <v>140</v>
      </c>
      <c r="D52" s="8">
        <v>2.9830000000000001</v>
      </c>
      <c r="E52" s="41" t="s">
        <v>419</v>
      </c>
    </row>
    <row r="53" spans="1:5" x14ac:dyDescent="0.25">
      <c r="A53" s="60" t="s">
        <v>160</v>
      </c>
      <c r="B53" s="29" t="s">
        <v>134</v>
      </c>
      <c r="C53" s="16">
        <v>619216490122</v>
      </c>
      <c r="D53" s="8">
        <v>2.9670000000000001</v>
      </c>
      <c r="E53" s="66" t="s">
        <v>420</v>
      </c>
    </row>
    <row r="54" spans="1:5" x14ac:dyDescent="0.25">
      <c r="A54" s="60" t="s">
        <v>160</v>
      </c>
      <c r="B54" s="103" t="s">
        <v>134</v>
      </c>
      <c r="C54" s="16">
        <v>619216490183</v>
      </c>
      <c r="D54" s="8">
        <v>2.9670000000000001</v>
      </c>
      <c r="E54" s="66" t="s">
        <v>420</v>
      </c>
    </row>
    <row r="55" spans="1:5" x14ac:dyDescent="0.25">
      <c r="A55" s="60" t="s">
        <v>160</v>
      </c>
      <c r="B55" s="29" t="s">
        <v>134</v>
      </c>
      <c r="C55" s="5" t="s">
        <v>138</v>
      </c>
      <c r="D55" s="8">
        <v>2.9430000000000001</v>
      </c>
      <c r="E55" s="41" t="s">
        <v>419</v>
      </c>
    </row>
    <row r="56" spans="1:5" x14ac:dyDescent="0.25">
      <c r="A56" s="60" t="s">
        <v>160</v>
      </c>
      <c r="B56" s="29" t="s">
        <v>134</v>
      </c>
      <c r="C56" s="16">
        <v>619216490123</v>
      </c>
      <c r="D56" s="8">
        <v>2.9329999999999998</v>
      </c>
      <c r="E56" s="66" t="s">
        <v>420</v>
      </c>
    </row>
    <row r="57" spans="1:5" x14ac:dyDescent="0.25">
      <c r="A57" s="60" t="s">
        <v>160</v>
      </c>
      <c r="B57" s="103" t="s">
        <v>134</v>
      </c>
      <c r="C57" s="16">
        <v>619216490158</v>
      </c>
      <c r="D57" s="8">
        <v>2.9</v>
      </c>
      <c r="E57" s="66" t="s">
        <v>420</v>
      </c>
    </row>
    <row r="58" spans="1:5" x14ac:dyDescent="0.25">
      <c r="A58" s="60" t="s">
        <v>160</v>
      </c>
      <c r="B58" s="103" t="s">
        <v>134</v>
      </c>
      <c r="C58" s="16">
        <v>619216490160</v>
      </c>
      <c r="D58" s="8">
        <v>2.7330000000000001</v>
      </c>
      <c r="E58" s="66" t="s">
        <v>420</v>
      </c>
    </row>
    <row r="59" spans="1:5" x14ac:dyDescent="0.25">
      <c r="A59" s="60" t="s">
        <v>160</v>
      </c>
      <c r="B59" s="103" t="s">
        <v>134</v>
      </c>
      <c r="C59" s="16">
        <v>619216490162</v>
      </c>
      <c r="D59" s="8">
        <v>2.6669999999999998</v>
      </c>
      <c r="E59" s="66" t="s">
        <v>420</v>
      </c>
    </row>
    <row r="60" spans="1:5" x14ac:dyDescent="0.25">
      <c r="A60" s="60" t="s">
        <v>160</v>
      </c>
      <c r="B60" s="103" t="s">
        <v>134</v>
      </c>
      <c r="C60" s="16">
        <v>619216490164</v>
      </c>
      <c r="D60" s="8">
        <v>2.5329999999999999</v>
      </c>
      <c r="E60" s="66" t="s">
        <v>420</v>
      </c>
    </row>
    <row r="61" spans="1:5" x14ac:dyDescent="0.25">
      <c r="A61" s="60" t="s">
        <v>160</v>
      </c>
      <c r="B61" s="103" t="s">
        <v>134</v>
      </c>
      <c r="C61" s="16">
        <v>619216490166</v>
      </c>
      <c r="D61" s="8">
        <v>2.5169999999999999</v>
      </c>
      <c r="E61" s="66" t="s">
        <v>420</v>
      </c>
    </row>
    <row r="62" spans="1:5" ht="15.75" thickBot="1" x14ac:dyDescent="0.3">
      <c r="A62" s="61" t="s">
        <v>160</v>
      </c>
      <c r="B62" s="105" t="s">
        <v>134</v>
      </c>
      <c r="C62" s="129">
        <v>619216490168</v>
      </c>
      <c r="D62" s="90">
        <v>2.2829999999999999</v>
      </c>
      <c r="E62" s="46" t="s">
        <v>420</v>
      </c>
    </row>
    <row r="63" spans="1:5" x14ac:dyDescent="0.25">
      <c r="A63" s="58" t="s">
        <v>160</v>
      </c>
      <c r="B63" s="104" t="s">
        <v>141</v>
      </c>
      <c r="C63" s="48" t="s">
        <v>144</v>
      </c>
      <c r="D63" s="89">
        <v>3.3580000000000001</v>
      </c>
      <c r="E63" s="39" t="s">
        <v>419</v>
      </c>
    </row>
    <row r="64" spans="1:5" x14ac:dyDescent="0.25">
      <c r="A64" s="60" t="s">
        <v>160</v>
      </c>
      <c r="B64" s="29" t="s">
        <v>141</v>
      </c>
      <c r="C64" s="5" t="s">
        <v>142</v>
      </c>
      <c r="D64" s="8">
        <v>3.2749999999999999</v>
      </c>
      <c r="E64" s="41" t="s">
        <v>419</v>
      </c>
    </row>
    <row r="65" spans="1:5" x14ac:dyDescent="0.25">
      <c r="A65" s="60" t="s">
        <v>160</v>
      </c>
      <c r="B65" s="103" t="s">
        <v>141</v>
      </c>
      <c r="C65" s="5" t="s">
        <v>145</v>
      </c>
      <c r="D65" s="8">
        <v>3.242</v>
      </c>
      <c r="E65" s="41" t="s">
        <v>419</v>
      </c>
    </row>
    <row r="66" spans="1:5" x14ac:dyDescent="0.25">
      <c r="A66" s="60" t="s">
        <v>160</v>
      </c>
      <c r="B66" s="29" t="s">
        <v>141</v>
      </c>
      <c r="C66" s="5" t="s">
        <v>143</v>
      </c>
      <c r="D66" s="8">
        <v>3.2080000000000002</v>
      </c>
      <c r="E66" s="41" t="s">
        <v>419</v>
      </c>
    </row>
    <row r="67" spans="1:5" x14ac:dyDescent="0.25">
      <c r="A67" s="60" t="s">
        <v>160</v>
      </c>
      <c r="B67" s="103" t="s">
        <v>141</v>
      </c>
      <c r="C67" s="5" t="s">
        <v>146</v>
      </c>
      <c r="D67" s="8">
        <v>3.1829999999999998</v>
      </c>
      <c r="E67" s="41" t="s">
        <v>419</v>
      </c>
    </row>
    <row r="68" spans="1:5" x14ac:dyDescent="0.25">
      <c r="A68" s="60" t="s">
        <v>160</v>
      </c>
      <c r="B68" s="103" t="s">
        <v>141</v>
      </c>
      <c r="C68" s="16">
        <v>619216490187</v>
      </c>
      <c r="D68" s="8">
        <v>3.0579999999999998</v>
      </c>
      <c r="E68" s="66" t="s">
        <v>420</v>
      </c>
    </row>
    <row r="69" spans="1:5" x14ac:dyDescent="0.25">
      <c r="A69" s="60" t="s">
        <v>160</v>
      </c>
      <c r="B69" s="103" t="s">
        <v>141</v>
      </c>
      <c r="C69" s="16">
        <v>619216490188</v>
      </c>
      <c r="D69" s="8">
        <v>3.0329999999999999</v>
      </c>
      <c r="E69" s="66" t="s">
        <v>420</v>
      </c>
    </row>
    <row r="70" spans="1:5" x14ac:dyDescent="0.25">
      <c r="A70" s="60" t="s">
        <v>160</v>
      </c>
      <c r="B70" s="29" t="s">
        <v>141</v>
      </c>
      <c r="C70" s="16">
        <v>619216370126</v>
      </c>
      <c r="D70" s="8">
        <v>3.0169999999999999</v>
      </c>
      <c r="E70" s="66" t="s">
        <v>420</v>
      </c>
    </row>
    <row r="71" spans="1:5" x14ac:dyDescent="0.25">
      <c r="A71" s="60" t="s">
        <v>160</v>
      </c>
      <c r="B71" s="103" t="s">
        <v>141</v>
      </c>
      <c r="C71" s="16">
        <v>619216490189</v>
      </c>
      <c r="D71" s="8">
        <v>2.9249999999999998</v>
      </c>
      <c r="E71" s="66" t="s">
        <v>420</v>
      </c>
    </row>
    <row r="72" spans="1:5" x14ac:dyDescent="0.25">
      <c r="A72" s="60" t="s">
        <v>160</v>
      </c>
      <c r="B72" s="103" t="s">
        <v>141</v>
      </c>
      <c r="C72" s="16">
        <v>619216490190</v>
      </c>
      <c r="D72" s="8">
        <v>2.9169999999999998</v>
      </c>
      <c r="E72" s="66" t="s">
        <v>420</v>
      </c>
    </row>
    <row r="73" spans="1:5" x14ac:dyDescent="0.25">
      <c r="A73" s="60" t="s">
        <v>160</v>
      </c>
      <c r="B73" s="29" t="s">
        <v>141</v>
      </c>
      <c r="C73" s="16">
        <v>619216490127</v>
      </c>
      <c r="D73" s="8">
        <v>2.9</v>
      </c>
      <c r="E73" s="66" t="s">
        <v>420</v>
      </c>
    </row>
    <row r="74" spans="1:5" x14ac:dyDescent="0.25">
      <c r="A74" s="60" t="s">
        <v>160</v>
      </c>
      <c r="B74" s="103" t="s">
        <v>141</v>
      </c>
      <c r="C74" s="16">
        <v>619216490191</v>
      </c>
      <c r="D74" s="8">
        <v>2.875</v>
      </c>
      <c r="E74" s="66" t="s">
        <v>420</v>
      </c>
    </row>
    <row r="75" spans="1:5" x14ac:dyDescent="0.25">
      <c r="A75" s="60" t="s">
        <v>160</v>
      </c>
      <c r="B75" s="29" t="s">
        <v>141</v>
      </c>
      <c r="C75" s="16">
        <v>619216490128</v>
      </c>
      <c r="D75" s="8">
        <v>2.85</v>
      </c>
      <c r="E75" s="66" t="s">
        <v>420</v>
      </c>
    </row>
    <row r="76" spans="1:5" x14ac:dyDescent="0.25">
      <c r="A76" s="60" t="s">
        <v>160</v>
      </c>
      <c r="B76" s="103" t="s">
        <v>141</v>
      </c>
      <c r="C76" s="16">
        <v>619216490192</v>
      </c>
      <c r="D76" s="8">
        <v>2.85</v>
      </c>
      <c r="E76" s="66" t="s">
        <v>420</v>
      </c>
    </row>
    <row r="77" spans="1:5" x14ac:dyDescent="0.25">
      <c r="A77" s="60" t="s">
        <v>160</v>
      </c>
      <c r="B77" s="103" t="s">
        <v>141</v>
      </c>
      <c r="C77" s="5" t="s">
        <v>147</v>
      </c>
      <c r="D77" s="19">
        <v>2.8130000000000002</v>
      </c>
      <c r="E77" s="41" t="s">
        <v>419</v>
      </c>
    </row>
    <row r="78" spans="1:5" x14ac:dyDescent="0.25">
      <c r="A78" s="60" t="s">
        <v>160</v>
      </c>
      <c r="B78" s="103" t="s">
        <v>141</v>
      </c>
      <c r="C78" s="16">
        <v>619216490193</v>
      </c>
      <c r="D78" s="8">
        <v>2.7330000000000001</v>
      </c>
      <c r="E78" s="66" t="s">
        <v>420</v>
      </c>
    </row>
    <row r="79" spans="1:5" x14ac:dyDescent="0.25">
      <c r="A79" s="60" t="s">
        <v>160</v>
      </c>
      <c r="B79" s="103" t="s">
        <v>141</v>
      </c>
      <c r="C79" s="16">
        <v>619216490194</v>
      </c>
      <c r="D79" s="8">
        <v>2.7330000000000001</v>
      </c>
      <c r="E79" s="66" t="s">
        <v>420</v>
      </c>
    </row>
    <row r="80" spans="1:5" x14ac:dyDescent="0.25">
      <c r="A80" s="60" t="s">
        <v>160</v>
      </c>
      <c r="B80" s="29" t="s">
        <v>141</v>
      </c>
      <c r="C80" s="16">
        <v>619216490129</v>
      </c>
      <c r="D80" s="8">
        <v>2.7</v>
      </c>
      <c r="E80" s="66" t="s">
        <v>420</v>
      </c>
    </row>
    <row r="81" spans="1:5" x14ac:dyDescent="0.25">
      <c r="A81" s="60" t="s">
        <v>160</v>
      </c>
      <c r="B81" s="29" t="s">
        <v>141</v>
      </c>
      <c r="C81" s="16">
        <v>619216490130</v>
      </c>
      <c r="D81" s="8">
        <v>2.6829999999999998</v>
      </c>
      <c r="E81" s="66" t="s">
        <v>420</v>
      </c>
    </row>
    <row r="82" spans="1:5" x14ac:dyDescent="0.25">
      <c r="A82" s="60" t="s">
        <v>160</v>
      </c>
      <c r="B82" s="103" t="s">
        <v>141</v>
      </c>
      <c r="C82" s="16">
        <v>619216490195</v>
      </c>
      <c r="D82" s="8">
        <v>2.633</v>
      </c>
      <c r="E82" s="66" t="s">
        <v>420</v>
      </c>
    </row>
    <row r="83" spans="1:5" x14ac:dyDescent="0.25">
      <c r="A83" s="60" t="s">
        <v>160</v>
      </c>
      <c r="B83" s="103" t="s">
        <v>141</v>
      </c>
      <c r="C83" s="5" t="s">
        <v>148</v>
      </c>
      <c r="D83" s="8">
        <v>2.629</v>
      </c>
      <c r="E83" s="41" t="s">
        <v>419</v>
      </c>
    </row>
    <row r="84" spans="1:5" x14ac:dyDescent="0.25">
      <c r="A84" s="60" t="s">
        <v>160</v>
      </c>
      <c r="B84" s="103" t="s">
        <v>141</v>
      </c>
      <c r="C84" s="16">
        <v>619216490197</v>
      </c>
      <c r="D84" s="19">
        <v>2.617</v>
      </c>
      <c r="E84" s="66" t="s">
        <v>420</v>
      </c>
    </row>
    <row r="85" spans="1:5" x14ac:dyDescent="0.25">
      <c r="A85" s="60" t="s">
        <v>160</v>
      </c>
      <c r="B85" s="103" t="s">
        <v>141</v>
      </c>
      <c r="C85" s="16">
        <v>619216490198</v>
      </c>
      <c r="D85" s="19">
        <v>2.617</v>
      </c>
      <c r="E85" s="66" t="s">
        <v>420</v>
      </c>
    </row>
    <row r="86" spans="1:5" x14ac:dyDescent="0.25">
      <c r="A86" s="60" t="s">
        <v>160</v>
      </c>
      <c r="B86" s="103" t="s">
        <v>141</v>
      </c>
      <c r="C86" s="5" t="s">
        <v>149</v>
      </c>
      <c r="D86" s="8">
        <v>2.6</v>
      </c>
      <c r="E86" s="41" t="s">
        <v>419</v>
      </c>
    </row>
    <row r="87" spans="1:5" x14ac:dyDescent="0.25">
      <c r="A87" s="60" t="s">
        <v>160</v>
      </c>
      <c r="B87" s="29" t="s">
        <v>141</v>
      </c>
      <c r="C87" s="16">
        <v>619216490131</v>
      </c>
      <c r="D87" s="8">
        <v>2.5579999999999998</v>
      </c>
      <c r="E87" s="66" t="s">
        <v>420</v>
      </c>
    </row>
    <row r="88" spans="1:5" x14ac:dyDescent="0.25">
      <c r="A88" s="60" t="s">
        <v>160</v>
      </c>
      <c r="B88" s="103" t="s">
        <v>141</v>
      </c>
      <c r="C88" s="5" t="s">
        <v>150</v>
      </c>
      <c r="D88" s="8">
        <v>2.5499999999999998</v>
      </c>
      <c r="E88" s="167" t="s">
        <v>420</v>
      </c>
    </row>
    <row r="89" spans="1:5" x14ac:dyDescent="0.25">
      <c r="A89" s="60" t="s">
        <v>160</v>
      </c>
      <c r="B89" s="29" t="s">
        <v>141</v>
      </c>
      <c r="C89" s="16">
        <v>619216490132</v>
      </c>
      <c r="D89" s="8">
        <v>2.5249999999999999</v>
      </c>
      <c r="E89" s="66" t="s">
        <v>420</v>
      </c>
    </row>
    <row r="90" spans="1:5" x14ac:dyDescent="0.25">
      <c r="A90" s="60" t="s">
        <v>160</v>
      </c>
      <c r="B90" s="103" t="s">
        <v>141</v>
      </c>
      <c r="C90" s="5" t="s">
        <v>151</v>
      </c>
      <c r="D90" s="8">
        <v>2.5070000000000001</v>
      </c>
      <c r="E90" s="66" t="s">
        <v>420</v>
      </c>
    </row>
    <row r="91" spans="1:5" x14ac:dyDescent="0.25">
      <c r="A91" s="60" t="s">
        <v>160</v>
      </c>
      <c r="B91" s="103" t="s">
        <v>141</v>
      </c>
      <c r="C91" s="5" t="s">
        <v>152</v>
      </c>
      <c r="D91" s="8">
        <v>2.4169999999999998</v>
      </c>
      <c r="E91" s="66" t="s">
        <v>420</v>
      </c>
    </row>
    <row r="92" spans="1:5" x14ac:dyDescent="0.25">
      <c r="A92" s="60" t="s">
        <v>160</v>
      </c>
      <c r="B92" s="103" t="s">
        <v>141</v>
      </c>
      <c r="C92" s="5" t="s">
        <v>153</v>
      </c>
      <c r="D92" s="8">
        <v>2.3730000000000002</v>
      </c>
      <c r="E92" s="66" t="s">
        <v>420</v>
      </c>
    </row>
    <row r="93" spans="1:5" x14ac:dyDescent="0.25">
      <c r="A93" s="60" t="s">
        <v>160</v>
      </c>
      <c r="B93" s="103" t="s">
        <v>141</v>
      </c>
      <c r="C93" s="16">
        <v>619216490133</v>
      </c>
      <c r="D93" s="8">
        <v>2.3420000000000001</v>
      </c>
      <c r="E93" s="66" t="s">
        <v>420</v>
      </c>
    </row>
    <row r="94" spans="1:5" x14ac:dyDescent="0.25">
      <c r="A94" s="60" t="s">
        <v>160</v>
      </c>
      <c r="B94" s="103" t="s">
        <v>141</v>
      </c>
      <c r="C94" s="16">
        <v>619216490134</v>
      </c>
      <c r="D94" s="8">
        <v>2.2749999999999999</v>
      </c>
      <c r="E94" s="66" t="s">
        <v>420</v>
      </c>
    </row>
    <row r="95" spans="1:5" x14ac:dyDescent="0.25">
      <c r="A95" s="60" t="s">
        <v>160</v>
      </c>
      <c r="B95" s="103" t="s">
        <v>141</v>
      </c>
      <c r="C95" s="16">
        <v>619216490199</v>
      </c>
      <c r="D95" s="19">
        <v>2.2669999999999999</v>
      </c>
      <c r="E95" s="66" t="s">
        <v>420</v>
      </c>
    </row>
    <row r="96" spans="1:5" x14ac:dyDescent="0.25">
      <c r="A96" s="60" t="s">
        <v>160</v>
      </c>
      <c r="B96" s="103" t="s">
        <v>141</v>
      </c>
      <c r="C96" s="16">
        <v>619216490200</v>
      </c>
      <c r="D96" s="19">
        <v>2.2250000000000001</v>
      </c>
      <c r="E96" s="66" t="s">
        <v>420</v>
      </c>
    </row>
    <row r="97" spans="1:6" x14ac:dyDescent="0.25">
      <c r="A97" s="60" t="s">
        <v>160</v>
      </c>
      <c r="B97" s="103" t="s">
        <v>141</v>
      </c>
      <c r="C97" s="5" t="s">
        <v>154</v>
      </c>
      <c r="D97" s="8">
        <v>2.2189999999999999</v>
      </c>
      <c r="E97" s="66" t="s">
        <v>420</v>
      </c>
    </row>
    <row r="98" spans="1:6" x14ac:dyDescent="0.25">
      <c r="A98" s="60" t="s">
        <v>160</v>
      </c>
      <c r="B98" s="103" t="s">
        <v>141</v>
      </c>
      <c r="C98" s="16">
        <v>619216490201</v>
      </c>
      <c r="D98" s="19">
        <v>2.1920000000000002</v>
      </c>
      <c r="E98" s="66" t="s">
        <v>420</v>
      </c>
    </row>
    <row r="99" spans="1:6" x14ac:dyDescent="0.25">
      <c r="A99" s="60" t="s">
        <v>160</v>
      </c>
      <c r="B99" s="103" t="s">
        <v>141</v>
      </c>
      <c r="C99" s="16">
        <v>619216490196</v>
      </c>
      <c r="D99" s="8">
        <v>2.0920000000000001</v>
      </c>
      <c r="E99" s="66" t="s">
        <v>420</v>
      </c>
    </row>
    <row r="100" spans="1:6" x14ac:dyDescent="0.25">
      <c r="A100" s="60" t="s">
        <v>160</v>
      </c>
      <c r="B100" s="103" t="s">
        <v>141</v>
      </c>
      <c r="C100" s="5" t="s">
        <v>155</v>
      </c>
      <c r="D100" s="8">
        <v>2.06</v>
      </c>
      <c r="E100" s="66" t="s">
        <v>420</v>
      </c>
    </row>
    <row r="101" spans="1:6" x14ac:dyDescent="0.25">
      <c r="A101" s="60" t="s">
        <v>160</v>
      </c>
      <c r="B101" s="103" t="s">
        <v>141</v>
      </c>
      <c r="C101" s="5" t="s">
        <v>156</v>
      </c>
      <c r="D101" s="8">
        <v>1.9419999999999999</v>
      </c>
      <c r="E101" s="66" t="s">
        <v>420</v>
      </c>
    </row>
    <row r="102" spans="1:6" x14ac:dyDescent="0.25">
      <c r="A102" s="60" t="s">
        <v>160</v>
      </c>
      <c r="B102" s="103" t="s">
        <v>141</v>
      </c>
      <c r="C102" s="5" t="s">
        <v>157</v>
      </c>
      <c r="D102" s="8">
        <v>1.9330000000000001</v>
      </c>
      <c r="E102" s="66" t="s">
        <v>420</v>
      </c>
    </row>
    <row r="103" spans="1:6" x14ac:dyDescent="0.25">
      <c r="A103" s="60" t="s">
        <v>160</v>
      </c>
      <c r="B103" s="103" t="s">
        <v>141</v>
      </c>
      <c r="C103" s="5" t="s">
        <v>158</v>
      </c>
      <c r="D103" s="8">
        <v>1.8580000000000001</v>
      </c>
      <c r="E103" s="66" t="s">
        <v>420</v>
      </c>
    </row>
    <row r="104" spans="1:6" ht="15.75" thickBot="1" x14ac:dyDescent="0.3">
      <c r="A104" s="61" t="s">
        <v>160</v>
      </c>
      <c r="B104" s="105" t="s">
        <v>141</v>
      </c>
      <c r="C104" s="44" t="s">
        <v>159</v>
      </c>
      <c r="D104" s="90">
        <v>1.7090000000000001</v>
      </c>
      <c r="E104" s="46" t="s">
        <v>420</v>
      </c>
    </row>
    <row r="105" spans="1:6" x14ac:dyDescent="0.25">
      <c r="A105" s="47" t="s">
        <v>160</v>
      </c>
      <c r="B105" s="99" t="s">
        <v>161</v>
      </c>
      <c r="C105" s="48" t="s">
        <v>162</v>
      </c>
      <c r="D105" s="89">
        <v>3.169</v>
      </c>
      <c r="E105" s="39" t="s">
        <v>419</v>
      </c>
    </row>
    <row r="106" spans="1:6" x14ac:dyDescent="0.25">
      <c r="A106" s="50" t="s">
        <v>160</v>
      </c>
      <c r="B106" s="29" t="s">
        <v>161</v>
      </c>
      <c r="C106" s="5" t="s">
        <v>163</v>
      </c>
      <c r="D106" s="8">
        <v>3.0150000000000001</v>
      </c>
      <c r="E106" s="41" t="s">
        <v>419</v>
      </c>
    </row>
    <row r="107" spans="1:6" x14ac:dyDescent="0.25">
      <c r="A107" s="50" t="s">
        <v>160</v>
      </c>
      <c r="B107" s="29" t="s">
        <v>161</v>
      </c>
      <c r="C107" s="5" t="s">
        <v>164</v>
      </c>
      <c r="D107" s="19">
        <v>3.0049999999999999</v>
      </c>
      <c r="E107" s="41" t="s">
        <v>419</v>
      </c>
    </row>
    <row r="108" spans="1:6" x14ac:dyDescent="0.25">
      <c r="A108" s="50" t="s">
        <v>160</v>
      </c>
      <c r="B108" s="29" t="s">
        <v>161</v>
      </c>
      <c r="C108" s="5" t="s">
        <v>165</v>
      </c>
      <c r="D108" s="19">
        <v>3</v>
      </c>
      <c r="E108" s="41" t="s">
        <v>419</v>
      </c>
    </row>
    <row r="109" spans="1:6" x14ac:dyDescent="0.25">
      <c r="A109" s="50" t="s">
        <v>160</v>
      </c>
      <c r="B109" s="29" t="s">
        <v>161</v>
      </c>
      <c r="C109" s="5" t="s">
        <v>166</v>
      </c>
      <c r="D109" s="19">
        <v>2.8620000000000001</v>
      </c>
      <c r="E109" s="41" t="s">
        <v>419</v>
      </c>
    </row>
    <row r="110" spans="1:6" ht="15.75" thickBot="1" x14ac:dyDescent="0.3">
      <c r="A110" s="145" t="s">
        <v>160</v>
      </c>
      <c r="B110" s="146" t="s">
        <v>161</v>
      </c>
      <c r="C110" s="147" t="s">
        <v>167</v>
      </c>
      <c r="D110" s="148">
        <v>2.8380000000000001</v>
      </c>
      <c r="E110" s="487" t="s">
        <v>419</v>
      </c>
    </row>
    <row r="111" spans="1:6" x14ac:dyDescent="0.25">
      <c r="A111" s="156" t="s">
        <v>870</v>
      </c>
      <c r="B111" s="363" t="s">
        <v>111</v>
      </c>
      <c r="C111" s="48" t="str">
        <f>"619217492445"</f>
        <v>619217492445</v>
      </c>
      <c r="D111" s="49">
        <v>3.0219999999999998</v>
      </c>
      <c r="E111" s="225" t="s">
        <v>419</v>
      </c>
      <c r="F111" s="6"/>
    </row>
    <row r="112" spans="1:6" x14ac:dyDescent="0.25">
      <c r="A112" s="95" t="s">
        <v>870</v>
      </c>
      <c r="B112" s="14" t="s">
        <v>111</v>
      </c>
      <c r="C112" s="5" t="str">
        <f>"619217492444"</f>
        <v>619217492444</v>
      </c>
      <c r="D112" s="2">
        <v>3.0750000000000002</v>
      </c>
      <c r="E112" s="225" t="s">
        <v>419</v>
      </c>
      <c r="F112" s="6"/>
    </row>
    <row r="113" spans="1:6" ht="15.75" thickBot="1" x14ac:dyDescent="0.3">
      <c r="A113" s="235" t="s">
        <v>870</v>
      </c>
      <c r="B113" s="353" t="s">
        <v>111</v>
      </c>
      <c r="C113" s="106" t="str">
        <f>"619217492443"</f>
        <v>619217492443</v>
      </c>
      <c r="D113" s="179">
        <v>3.3849999999999998</v>
      </c>
      <c r="E113" s="366" t="s">
        <v>419</v>
      </c>
      <c r="F113" s="6"/>
    </row>
    <row r="114" spans="1:6" x14ac:dyDescent="0.25">
      <c r="A114" s="156" t="s">
        <v>870</v>
      </c>
      <c r="B114" s="37" t="s">
        <v>114</v>
      </c>
      <c r="C114" s="48" t="str">
        <f>"619217492509"</f>
        <v>619217492509</v>
      </c>
      <c r="D114" s="49">
        <v>2.673</v>
      </c>
      <c r="E114" s="39" t="s">
        <v>419</v>
      </c>
      <c r="F114" s="6"/>
    </row>
    <row r="115" spans="1:6" x14ac:dyDescent="0.25">
      <c r="A115" s="95" t="s">
        <v>870</v>
      </c>
      <c r="B115" s="14" t="s">
        <v>114</v>
      </c>
      <c r="C115" s="5" t="str">
        <f>"619217372507"</f>
        <v>619217372507</v>
      </c>
      <c r="D115" s="2">
        <v>2.6970000000000001</v>
      </c>
      <c r="E115" s="41" t="s">
        <v>419</v>
      </c>
      <c r="F115" s="6"/>
    </row>
    <row r="116" spans="1:6" x14ac:dyDescent="0.25">
      <c r="A116" s="95" t="s">
        <v>870</v>
      </c>
      <c r="B116" s="14" t="s">
        <v>114</v>
      </c>
      <c r="C116" s="5" t="str">
        <f>"619217492506"</f>
        <v>619217492506</v>
      </c>
      <c r="D116" s="2">
        <v>3.0579999999999998</v>
      </c>
      <c r="E116" s="41" t="s">
        <v>419</v>
      </c>
      <c r="F116" s="6"/>
    </row>
    <row r="117" spans="1:6" x14ac:dyDescent="0.25">
      <c r="A117" s="95" t="s">
        <v>870</v>
      </c>
      <c r="B117" s="14" t="s">
        <v>114</v>
      </c>
      <c r="C117" s="5" t="str">
        <f>"619217492504"</f>
        <v>619217492504</v>
      </c>
      <c r="D117" s="2">
        <v>3.11</v>
      </c>
      <c r="E117" s="41" t="s">
        <v>419</v>
      </c>
      <c r="F117" s="6"/>
    </row>
    <row r="118" spans="1:6" x14ac:dyDescent="0.25">
      <c r="A118" s="95" t="s">
        <v>870</v>
      </c>
      <c r="B118" s="14" t="s">
        <v>114</v>
      </c>
      <c r="C118" s="5" t="str">
        <f>"619217492502"</f>
        <v>619217492502</v>
      </c>
      <c r="D118" s="2">
        <v>3.3130000000000002</v>
      </c>
      <c r="E118" s="41" t="s">
        <v>419</v>
      </c>
      <c r="F118" s="6"/>
    </row>
    <row r="119" spans="1:6" x14ac:dyDescent="0.25">
      <c r="A119" s="95" t="s">
        <v>870</v>
      </c>
      <c r="B119" s="14" t="s">
        <v>114</v>
      </c>
      <c r="C119" s="5" t="str">
        <f>"619217492500"</f>
        <v>619217492500</v>
      </c>
      <c r="D119" s="2">
        <v>3.3319999999999999</v>
      </c>
      <c r="E119" s="41" t="s">
        <v>419</v>
      </c>
      <c r="F119" s="6"/>
    </row>
    <row r="120" spans="1:6" x14ac:dyDescent="0.25">
      <c r="A120" s="95" t="s">
        <v>870</v>
      </c>
      <c r="B120" s="14" t="s">
        <v>114</v>
      </c>
      <c r="C120" s="5" t="str">
        <f>"619217492498"</f>
        <v>619217492498</v>
      </c>
      <c r="D120" s="2">
        <v>3.4020000000000001</v>
      </c>
      <c r="E120" s="41" t="s">
        <v>419</v>
      </c>
      <c r="F120" s="6"/>
    </row>
    <row r="121" spans="1:6" x14ac:dyDescent="0.25">
      <c r="A121" s="95" t="s">
        <v>870</v>
      </c>
      <c r="B121" s="14" t="s">
        <v>114</v>
      </c>
      <c r="C121" s="5" t="str">
        <f>"619217492478"</f>
        <v>619217492478</v>
      </c>
      <c r="D121" s="2">
        <v>2.883</v>
      </c>
      <c r="E121" s="41" t="s">
        <v>419</v>
      </c>
      <c r="F121" s="6"/>
    </row>
    <row r="122" spans="1:6" x14ac:dyDescent="0.25">
      <c r="A122" s="95" t="s">
        <v>870</v>
      </c>
      <c r="B122" s="14" t="s">
        <v>114</v>
      </c>
      <c r="C122" s="5" t="str">
        <f>"619217492476"</f>
        <v>619217492476</v>
      </c>
      <c r="D122" s="2">
        <v>2.9</v>
      </c>
      <c r="E122" s="41" t="s">
        <v>419</v>
      </c>
      <c r="F122" s="6"/>
    </row>
    <row r="123" spans="1:6" x14ac:dyDescent="0.25">
      <c r="A123" s="95" t="s">
        <v>870</v>
      </c>
      <c r="B123" s="14" t="s">
        <v>114</v>
      </c>
      <c r="C123" s="5" t="str">
        <f>"619217492474"</f>
        <v>619217492474</v>
      </c>
      <c r="D123" s="2">
        <v>2.9830000000000001</v>
      </c>
      <c r="E123" s="41" t="s">
        <v>419</v>
      </c>
      <c r="F123" s="6"/>
    </row>
    <row r="124" spans="1:6" x14ac:dyDescent="0.25">
      <c r="A124" s="95" t="s">
        <v>870</v>
      </c>
      <c r="B124" s="14" t="s">
        <v>114</v>
      </c>
      <c r="C124" s="5" t="str">
        <f>"619217492473"</f>
        <v>619217492473</v>
      </c>
      <c r="D124" s="2">
        <v>3.0670000000000002</v>
      </c>
      <c r="E124" s="41" t="s">
        <v>419</v>
      </c>
      <c r="F124" s="6"/>
    </row>
    <row r="125" spans="1:6" x14ac:dyDescent="0.25">
      <c r="A125" s="95" t="s">
        <v>870</v>
      </c>
      <c r="B125" s="14" t="s">
        <v>114</v>
      </c>
      <c r="C125" s="5" t="str">
        <f>"619217492471"</f>
        <v>619217492471</v>
      </c>
      <c r="D125" s="2">
        <v>3.117</v>
      </c>
      <c r="E125" s="41" t="s">
        <v>419</v>
      </c>
      <c r="F125" s="6"/>
    </row>
    <row r="126" spans="1:6" x14ac:dyDescent="0.25">
      <c r="A126" s="95" t="s">
        <v>870</v>
      </c>
      <c r="B126" s="14" t="s">
        <v>114</v>
      </c>
      <c r="C126" s="5" t="str">
        <f>"619217492469"</f>
        <v>619217492469</v>
      </c>
      <c r="D126" s="2">
        <v>3.133</v>
      </c>
      <c r="E126" s="41" t="s">
        <v>419</v>
      </c>
      <c r="F126" s="6"/>
    </row>
    <row r="127" spans="1:6" x14ac:dyDescent="0.25">
      <c r="A127" s="95" t="s">
        <v>870</v>
      </c>
      <c r="B127" s="14" t="s">
        <v>114</v>
      </c>
      <c r="C127" s="5" t="str">
        <f>"619217492468"</f>
        <v>619217492468</v>
      </c>
      <c r="D127" s="2">
        <v>3.2330000000000001</v>
      </c>
      <c r="E127" s="41" t="s">
        <v>419</v>
      </c>
      <c r="F127" s="6"/>
    </row>
    <row r="128" spans="1:6" x14ac:dyDescent="0.25">
      <c r="A128" s="95" t="s">
        <v>870</v>
      </c>
      <c r="B128" s="14" t="s">
        <v>114</v>
      </c>
      <c r="C128" s="5" t="str">
        <f>"619217492466"</f>
        <v>619217492466</v>
      </c>
      <c r="D128" s="2">
        <v>3.2330000000000001</v>
      </c>
      <c r="E128" s="41" t="s">
        <v>419</v>
      </c>
      <c r="F128" s="6"/>
    </row>
    <row r="129" spans="1:6" x14ac:dyDescent="0.25">
      <c r="A129" s="95" t="s">
        <v>870</v>
      </c>
      <c r="B129" s="14" t="s">
        <v>114</v>
      </c>
      <c r="C129" s="5" t="str">
        <f>"619217492465"</f>
        <v>619217492465</v>
      </c>
      <c r="D129" s="2">
        <v>3.3</v>
      </c>
      <c r="E129" s="41" t="s">
        <v>419</v>
      </c>
      <c r="F129" s="6"/>
    </row>
    <row r="130" spans="1:6" x14ac:dyDescent="0.25">
      <c r="A130" s="95" t="s">
        <v>870</v>
      </c>
      <c r="B130" s="14" t="s">
        <v>114</v>
      </c>
      <c r="C130" s="5" t="str">
        <f>"619217492463"</f>
        <v>619217492463</v>
      </c>
      <c r="D130" s="2">
        <v>3.3170000000000002</v>
      </c>
      <c r="E130" s="41" t="s">
        <v>419</v>
      </c>
      <c r="F130" s="6"/>
    </row>
    <row r="131" spans="1:6" x14ac:dyDescent="0.25">
      <c r="A131" s="95" t="s">
        <v>870</v>
      </c>
      <c r="B131" s="14" t="s">
        <v>114</v>
      </c>
      <c r="C131" s="5" t="str">
        <f>"619217492452"</f>
        <v>619217492452</v>
      </c>
      <c r="D131" s="2">
        <v>2.9670000000000001</v>
      </c>
      <c r="E131" s="41" t="s">
        <v>419</v>
      </c>
      <c r="F131" s="6"/>
    </row>
    <row r="132" spans="1:6" x14ac:dyDescent="0.25">
      <c r="A132" s="95" t="s">
        <v>870</v>
      </c>
      <c r="B132" s="14" t="s">
        <v>114</v>
      </c>
      <c r="C132" s="5" t="str">
        <f>"619217492451"</f>
        <v>619217492451</v>
      </c>
      <c r="D132" s="2">
        <v>3.0670000000000002</v>
      </c>
      <c r="E132" s="41" t="s">
        <v>419</v>
      </c>
      <c r="F132" s="6"/>
    </row>
    <row r="133" spans="1:6" x14ac:dyDescent="0.25">
      <c r="A133" s="95" t="s">
        <v>870</v>
      </c>
      <c r="B133" s="14" t="s">
        <v>114</v>
      </c>
      <c r="C133" s="5" t="str">
        <f>"619217492450"</f>
        <v>619217492450</v>
      </c>
      <c r="D133" s="2">
        <v>3.25</v>
      </c>
      <c r="E133" s="41" t="s">
        <v>419</v>
      </c>
      <c r="F133" s="6"/>
    </row>
    <row r="134" spans="1:6" x14ac:dyDescent="0.25">
      <c r="A134" s="95" t="s">
        <v>870</v>
      </c>
      <c r="B134" s="14" t="s">
        <v>114</v>
      </c>
      <c r="C134" s="5" t="str">
        <f>"619217492449"</f>
        <v>619217492449</v>
      </c>
      <c r="D134" s="2">
        <v>3.2829999999999999</v>
      </c>
      <c r="E134" s="41" t="s">
        <v>419</v>
      </c>
      <c r="F134" s="6"/>
    </row>
    <row r="135" spans="1:6" x14ac:dyDescent="0.25">
      <c r="A135" s="95" t="s">
        <v>870</v>
      </c>
      <c r="B135" s="14" t="s">
        <v>114</v>
      </c>
      <c r="C135" s="5" t="str">
        <f>"619217492448"</f>
        <v>619217492448</v>
      </c>
      <c r="D135" s="2">
        <v>3.3170000000000002</v>
      </c>
      <c r="E135" s="41" t="s">
        <v>419</v>
      </c>
      <c r="F135" s="6"/>
    </row>
    <row r="136" spans="1:6" x14ac:dyDescent="0.25">
      <c r="A136" s="95" t="s">
        <v>870</v>
      </c>
      <c r="B136" s="14" t="s">
        <v>114</v>
      </c>
      <c r="C136" s="5" t="str">
        <f>"619217492447"</f>
        <v>619217492447</v>
      </c>
      <c r="D136" s="2">
        <v>3.367</v>
      </c>
      <c r="E136" s="41" t="s">
        <v>419</v>
      </c>
      <c r="F136" s="6"/>
    </row>
    <row r="137" spans="1:6" x14ac:dyDescent="0.25">
      <c r="A137" s="95" t="s">
        <v>870</v>
      </c>
      <c r="B137" s="14" t="s">
        <v>114</v>
      </c>
      <c r="C137" s="5" t="str">
        <f>"619217492446"</f>
        <v>619217492446</v>
      </c>
      <c r="D137" s="2">
        <v>3.7</v>
      </c>
      <c r="E137" s="41" t="s">
        <v>419</v>
      </c>
      <c r="F137" s="6"/>
    </row>
    <row r="138" spans="1:6" x14ac:dyDescent="0.25">
      <c r="A138" s="95" t="s">
        <v>870</v>
      </c>
      <c r="B138" s="14" t="s">
        <v>114</v>
      </c>
      <c r="C138" s="5" t="str">
        <f>"619217492512"</f>
        <v>619217492512</v>
      </c>
      <c r="D138" s="2">
        <v>2.2879999999999998</v>
      </c>
      <c r="E138" s="66" t="s">
        <v>420</v>
      </c>
      <c r="F138" s="6"/>
    </row>
    <row r="139" spans="1:6" x14ac:dyDescent="0.25">
      <c r="A139" s="95" t="s">
        <v>870</v>
      </c>
      <c r="B139" s="14" t="s">
        <v>114</v>
      </c>
      <c r="C139" s="5" t="str">
        <f>"619217492511"</f>
        <v>619217492511</v>
      </c>
      <c r="D139" s="2">
        <v>2.3180000000000001</v>
      </c>
      <c r="E139" s="66" t="s">
        <v>420</v>
      </c>
      <c r="F139" s="6"/>
    </row>
    <row r="140" spans="1:6" x14ac:dyDescent="0.25">
      <c r="A140" s="95" t="s">
        <v>870</v>
      </c>
      <c r="B140" s="14" t="s">
        <v>114</v>
      </c>
      <c r="C140" s="5" t="str">
        <f>"619217492510"</f>
        <v>619217492510</v>
      </c>
      <c r="D140" s="2">
        <v>2.39</v>
      </c>
      <c r="E140" s="66" t="s">
        <v>420</v>
      </c>
      <c r="F140" s="6"/>
    </row>
    <row r="141" spans="1:6" x14ac:dyDescent="0.25">
      <c r="A141" s="95" t="s">
        <v>870</v>
      </c>
      <c r="B141" s="14" t="s">
        <v>114</v>
      </c>
      <c r="C141" s="5" t="str">
        <f>"619217492486"</f>
        <v>619217492486</v>
      </c>
      <c r="D141" s="2">
        <v>2.6669999999999998</v>
      </c>
      <c r="E141" s="66" t="s">
        <v>420</v>
      </c>
      <c r="F141" s="6"/>
    </row>
    <row r="142" spans="1:6" x14ac:dyDescent="0.25">
      <c r="A142" s="95" t="s">
        <v>870</v>
      </c>
      <c r="B142" s="14" t="s">
        <v>114</v>
      </c>
      <c r="C142" s="5" t="str">
        <f>"619217492485"</f>
        <v>619217492485</v>
      </c>
      <c r="D142" s="2">
        <v>2.6829999999999998</v>
      </c>
      <c r="E142" s="66" t="s">
        <v>420</v>
      </c>
      <c r="F142" s="6"/>
    </row>
    <row r="143" spans="1:6" x14ac:dyDescent="0.25">
      <c r="A143" s="95" t="s">
        <v>870</v>
      </c>
      <c r="B143" s="14" t="s">
        <v>114</v>
      </c>
      <c r="C143" s="5" t="str">
        <f>"619217492483"</f>
        <v>619217492483</v>
      </c>
      <c r="D143" s="2">
        <v>2.7330000000000001</v>
      </c>
      <c r="E143" s="66" t="s">
        <v>420</v>
      </c>
      <c r="F143" s="6"/>
    </row>
    <row r="144" spans="1:6" x14ac:dyDescent="0.25">
      <c r="A144" s="95" t="s">
        <v>870</v>
      </c>
      <c r="B144" s="14" t="s">
        <v>114</v>
      </c>
      <c r="C144" s="5" t="str">
        <f>"619217492481"</f>
        <v>619217492481</v>
      </c>
      <c r="D144" s="2">
        <v>2.867</v>
      </c>
      <c r="E144" s="66" t="s">
        <v>420</v>
      </c>
      <c r="F144" s="6"/>
    </row>
    <row r="145" spans="1:7" x14ac:dyDescent="0.25">
      <c r="A145" s="95" t="s">
        <v>870</v>
      </c>
      <c r="B145" s="14" t="s">
        <v>114</v>
      </c>
      <c r="C145" s="5" t="str">
        <f>"619217492480"</f>
        <v>619217492480</v>
      </c>
      <c r="D145" s="2">
        <v>2.867</v>
      </c>
      <c r="E145" s="66" t="s">
        <v>420</v>
      </c>
      <c r="F145" s="6"/>
    </row>
    <row r="146" spans="1:7" x14ac:dyDescent="0.25">
      <c r="A146" s="95" t="s">
        <v>870</v>
      </c>
      <c r="B146" s="14" t="s">
        <v>114</v>
      </c>
      <c r="C146" s="5" t="str">
        <f>"619217492456"</f>
        <v>619217492456</v>
      </c>
      <c r="D146" s="2">
        <v>2.5329999999999999</v>
      </c>
      <c r="E146" s="66" t="s">
        <v>420</v>
      </c>
      <c r="F146" s="6"/>
    </row>
    <row r="147" spans="1:7" x14ac:dyDescent="0.25">
      <c r="A147" s="95" t="s">
        <v>870</v>
      </c>
      <c r="B147" s="14" t="s">
        <v>114</v>
      </c>
      <c r="C147" s="5" t="str">
        <f>"619217492455"</f>
        <v>619217492455</v>
      </c>
      <c r="D147" s="2">
        <v>2.5499999999999998</v>
      </c>
      <c r="E147" s="66" t="s">
        <v>420</v>
      </c>
      <c r="F147" s="6"/>
      <c r="G147" s="6"/>
    </row>
    <row r="148" spans="1:7" x14ac:dyDescent="0.25">
      <c r="A148" s="95" t="s">
        <v>870</v>
      </c>
      <c r="B148" s="14" t="s">
        <v>114</v>
      </c>
      <c r="C148" s="5" t="str">
        <f>"619217492454"</f>
        <v>619217492454</v>
      </c>
      <c r="D148" s="2">
        <v>2.7669999999999999</v>
      </c>
      <c r="E148" s="66" t="s">
        <v>420</v>
      </c>
      <c r="F148" s="6"/>
      <c r="G148" s="6"/>
    </row>
    <row r="149" spans="1:7" ht="15.75" thickBot="1" x14ac:dyDescent="0.3">
      <c r="A149" s="96" t="s">
        <v>870</v>
      </c>
      <c r="B149" s="357" t="s">
        <v>114</v>
      </c>
      <c r="C149" s="44" t="str">
        <f>"619217492453"</f>
        <v>619217492453</v>
      </c>
      <c r="D149" s="51">
        <v>2.9169999999999998</v>
      </c>
      <c r="E149" s="46" t="s">
        <v>420</v>
      </c>
      <c r="F149" s="6"/>
      <c r="G149" s="6"/>
    </row>
    <row r="150" spans="1:7" x14ac:dyDescent="0.25">
      <c r="A150" s="156" t="s">
        <v>870</v>
      </c>
      <c r="B150" s="37" t="s">
        <v>134</v>
      </c>
      <c r="C150" s="48" t="str">
        <f>"619217492495"</f>
        <v>619217492495</v>
      </c>
      <c r="D150" s="49">
        <v>2.7530000000000001</v>
      </c>
      <c r="E150" s="39" t="s">
        <v>419</v>
      </c>
      <c r="F150" s="6"/>
      <c r="G150" s="504"/>
    </row>
    <row r="151" spans="1:7" x14ac:dyDescent="0.25">
      <c r="A151" s="95" t="s">
        <v>870</v>
      </c>
      <c r="B151" s="14" t="s">
        <v>134</v>
      </c>
      <c r="C151" s="5" t="str">
        <f>"619217492493"</f>
        <v>619217492493</v>
      </c>
      <c r="D151" s="2">
        <v>3.202</v>
      </c>
      <c r="E151" s="41" t="s">
        <v>419</v>
      </c>
      <c r="F151" s="6"/>
      <c r="G151" s="504"/>
    </row>
    <row r="152" spans="1:7" x14ac:dyDescent="0.25">
      <c r="A152" s="95" t="s">
        <v>870</v>
      </c>
      <c r="B152" s="14" t="s">
        <v>134</v>
      </c>
      <c r="C152" s="16">
        <v>619217492519</v>
      </c>
      <c r="D152" s="2">
        <v>2.5920000000000001</v>
      </c>
      <c r="E152" s="41" t="s">
        <v>419</v>
      </c>
      <c r="F152" s="6"/>
      <c r="G152" s="504"/>
    </row>
    <row r="153" spans="1:7" x14ac:dyDescent="0.25">
      <c r="A153" s="95" t="s">
        <v>870</v>
      </c>
      <c r="B153" s="14" t="s">
        <v>134</v>
      </c>
      <c r="C153" s="5" t="str">
        <f>"619217492490"</f>
        <v>619217492490</v>
      </c>
      <c r="D153" s="2">
        <v>3.2</v>
      </c>
      <c r="E153" s="41" t="s">
        <v>419</v>
      </c>
      <c r="F153" s="6"/>
      <c r="G153" s="6"/>
    </row>
    <row r="154" spans="1:7" ht="15.75" thickBot="1" x14ac:dyDescent="0.3">
      <c r="A154" s="96" t="s">
        <v>870</v>
      </c>
      <c r="B154" s="357" t="s">
        <v>134</v>
      </c>
      <c r="C154" s="44" t="str">
        <f>"619217492488"</f>
        <v>619217492488</v>
      </c>
      <c r="D154" s="51">
        <v>3.4329999999999998</v>
      </c>
      <c r="E154" s="87" t="s">
        <v>419</v>
      </c>
      <c r="F154" s="6"/>
      <c r="G154" s="6"/>
    </row>
    <row r="155" spans="1:7" x14ac:dyDescent="0.25">
      <c r="A155" s="156" t="s">
        <v>870</v>
      </c>
      <c r="B155" s="37" t="s">
        <v>141</v>
      </c>
      <c r="C155" s="48" t="str">
        <f>"619217492496"</f>
        <v>619217492496</v>
      </c>
      <c r="D155" s="49">
        <v>2.9750000000000001</v>
      </c>
      <c r="E155" s="39" t="s">
        <v>419</v>
      </c>
      <c r="F155" s="6"/>
      <c r="G155" s="6"/>
    </row>
    <row r="156" spans="1:7" x14ac:dyDescent="0.25">
      <c r="A156" s="95" t="s">
        <v>870</v>
      </c>
      <c r="B156" s="14" t="s">
        <v>141</v>
      </c>
      <c r="C156" s="5" t="str">
        <f>"619217492494"</f>
        <v>619217492494</v>
      </c>
      <c r="D156" s="2">
        <v>3.367</v>
      </c>
      <c r="E156" s="41" t="s">
        <v>419</v>
      </c>
      <c r="F156" s="6"/>
      <c r="G156" s="6"/>
    </row>
    <row r="157" spans="1:7" x14ac:dyDescent="0.25">
      <c r="A157" s="95" t="s">
        <v>870</v>
      </c>
      <c r="B157" s="14" t="s">
        <v>141</v>
      </c>
      <c r="C157" s="5" t="str">
        <f>"619217492492"</f>
        <v>619217492492</v>
      </c>
      <c r="D157" s="2">
        <v>3.4329999999999998</v>
      </c>
      <c r="E157" s="41" t="s">
        <v>419</v>
      </c>
      <c r="F157" s="6"/>
      <c r="G157" s="6"/>
    </row>
    <row r="158" spans="1:7" x14ac:dyDescent="0.25">
      <c r="A158" s="95" t="s">
        <v>870</v>
      </c>
      <c r="B158" s="14" t="s">
        <v>141</v>
      </c>
      <c r="C158" s="5" t="str">
        <f>"619217492472"</f>
        <v>619217492472</v>
      </c>
      <c r="D158" s="2">
        <v>3.2050000000000001</v>
      </c>
      <c r="E158" s="41" t="s">
        <v>419</v>
      </c>
      <c r="F158" s="6"/>
    </row>
    <row r="159" spans="1:7" x14ac:dyDescent="0.25">
      <c r="A159" s="95" t="s">
        <v>870</v>
      </c>
      <c r="B159" s="14" t="s">
        <v>141</v>
      </c>
      <c r="C159" s="5" t="str">
        <f>"619217492470"</f>
        <v>619217492470</v>
      </c>
      <c r="D159" s="2">
        <v>3.2080000000000002</v>
      </c>
      <c r="E159" s="41" t="s">
        <v>419</v>
      </c>
      <c r="F159" s="6"/>
    </row>
    <row r="160" spans="1:7" x14ac:dyDescent="0.25">
      <c r="A160" s="95" t="s">
        <v>870</v>
      </c>
      <c r="B160" s="14" t="s">
        <v>141</v>
      </c>
      <c r="C160" s="5" t="str">
        <f>"619217492467"</f>
        <v>619217492467</v>
      </c>
      <c r="D160" s="2">
        <v>3.2719999999999998</v>
      </c>
      <c r="E160" s="41" t="s">
        <v>419</v>
      </c>
      <c r="F160" s="6"/>
    </row>
    <row r="161" spans="1:6" x14ac:dyDescent="0.25">
      <c r="A161" s="95" t="s">
        <v>870</v>
      </c>
      <c r="B161" s="14" t="s">
        <v>141</v>
      </c>
      <c r="C161" s="5" t="str">
        <f>"619217492464"</f>
        <v>619217492464</v>
      </c>
      <c r="D161" s="2">
        <v>3.282</v>
      </c>
      <c r="E161" s="41" t="s">
        <v>419</v>
      </c>
      <c r="F161" s="6"/>
    </row>
    <row r="162" spans="1:6" x14ac:dyDescent="0.25">
      <c r="A162" s="95" t="s">
        <v>870</v>
      </c>
      <c r="B162" s="14" t="s">
        <v>141</v>
      </c>
      <c r="C162" s="5" t="str">
        <f>"619217492459"</f>
        <v>619217492459</v>
      </c>
      <c r="D162" s="2">
        <v>3.15</v>
      </c>
      <c r="E162" s="41" t="s">
        <v>419</v>
      </c>
      <c r="F162" s="6"/>
    </row>
    <row r="163" spans="1:6" x14ac:dyDescent="0.25">
      <c r="A163" s="95" t="s">
        <v>870</v>
      </c>
      <c r="B163" s="14" t="s">
        <v>141</v>
      </c>
      <c r="C163" s="5" t="str">
        <f>"619217372458"</f>
        <v>619217372458</v>
      </c>
      <c r="D163" s="2">
        <v>3.15</v>
      </c>
      <c r="E163" s="41" t="s">
        <v>419</v>
      </c>
      <c r="F163" s="6"/>
    </row>
    <row r="164" spans="1:6" x14ac:dyDescent="0.25">
      <c r="A164" s="95" t="s">
        <v>870</v>
      </c>
      <c r="B164" s="14" t="s">
        <v>141</v>
      </c>
      <c r="C164" s="5" t="str">
        <f>"619217492457"</f>
        <v>619217492457</v>
      </c>
      <c r="D164" s="2">
        <v>3.367</v>
      </c>
      <c r="E164" s="41" t="s">
        <v>419</v>
      </c>
      <c r="F164" s="6"/>
    </row>
    <row r="165" spans="1:6" x14ac:dyDescent="0.25">
      <c r="A165" s="95" t="s">
        <v>870</v>
      </c>
      <c r="B165" s="17" t="s">
        <v>141</v>
      </c>
      <c r="C165" s="5" t="str">
        <f>"619217492505"</f>
        <v>619217492505</v>
      </c>
      <c r="D165" s="2">
        <v>2.4580000000000002</v>
      </c>
      <c r="E165" s="66" t="s">
        <v>420</v>
      </c>
      <c r="F165" s="6"/>
    </row>
    <row r="166" spans="1:6" x14ac:dyDescent="0.25">
      <c r="A166" s="95" t="s">
        <v>870</v>
      </c>
      <c r="B166" s="17" t="s">
        <v>141</v>
      </c>
      <c r="C166" s="5" t="str">
        <f>"619217492503"</f>
        <v>619217492503</v>
      </c>
      <c r="D166" s="2">
        <v>2.4830000000000001</v>
      </c>
      <c r="E166" s="66" t="s">
        <v>420</v>
      </c>
      <c r="F166" s="6"/>
    </row>
    <row r="167" spans="1:6" x14ac:dyDescent="0.25">
      <c r="A167" s="95" t="s">
        <v>870</v>
      </c>
      <c r="B167" s="17" t="s">
        <v>141</v>
      </c>
      <c r="C167" s="5" t="str">
        <f>"619217492501"</f>
        <v>619217492501</v>
      </c>
      <c r="D167" s="2">
        <v>2.7669999999999999</v>
      </c>
      <c r="E167" s="66" t="s">
        <v>420</v>
      </c>
      <c r="F167" s="6"/>
    </row>
    <row r="168" spans="1:6" x14ac:dyDescent="0.25">
      <c r="A168" s="95" t="s">
        <v>870</v>
      </c>
      <c r="B168" s="17" t="s">
        <v>141</v>
      </c>
      <c r="C168" s="5" t="str">
        <f>"619217492499"</f>
        <v>619217492499</v>
      </c>
      <c r="D168" s="2">
        <v>2.85</v>
      </c>
      <c r="E168" s="66" t="s">
        <v>420</v>
      </c>
      <c r="F168" s="6"/>
    </row>
    <row r="169" spans="1:6" x14ac:dyDescent="0.25">
      <c r="A169" s="95" t="s">
        <v>870</v>
      </c>
      <c r="B169" s="14" t="s">
        <v>141</v>
      </c>
      <c r="C169" s="5" t="str">
        <f>"619217492497"</f>
        <v>619217492497</v>
      </c>
      <c r="D169" s="2">
        <v>2.875</v>
      </c>
      <c r="E169" s="66" t="s">
        <v>420</v>
      </c>
      <c r="F169" s="6"/>
    </row>
    <row r="170" spans="1:6" x14ac:dyDescent="0.25">
      <c r="A170" s="95" t="s">
        <v>870</v>
      </c>
      <c r="B170" s="17" t="s">
        <v>141</v>
      </c>
      <c r="C170" s="5" t="str">
        <f>"619217492491"</f>
        <v>619217492491</v>
      </c>
      <c r="D170" s="2">
        <v>2.2080000000000002</v>
      </c>
      <c r="E170" s="66" t="s">
        <v>420</v>
      </c>
      <c r="F170" s="6"/>
    </row>
    <row r="171" spans="1:6" x14ac:dyDescent="0.25">
      <c r="A171" s="95" t="s">
        <v>870</v>
      </c>
      <c r="B171" s="17" t="s">
        <v>141</v>
      </c>
      <c r="C171" s="5" t="str">
        <f>"619217492489"</f>
        <v>619217492489</v>
      </c>
      <c r="D171" s="2">
        <v>2.2759999999999998</v>
      </c>
      <c r="E171" s="66" t="s">
        <v>420</v>
      </c>
      <c r="F171" s="6"/>
    </row>
    <row r="172" spans="1:6" x14ac:dyDescent="0.25">
      <c r="A172" s="95" t="s">
        <v>870</v>
      </c>
      <c r="B172" s="17" t="s">
        <v>141</v>
      </c>
      <c r="C172" s="5" t="str">
        <f>"619217492487"</f>
        <v>619217492487</v>
      </c>
      <c r="D172" s="2">
        <v>2.5070000000000001</v>
      </c>
      <c r="E172" s="66" t="s">
        <v>420</v>
      </c>
      <c r="F172" s="6"/>
    </row>
    <row r="173" spans="1:6" x14ac:dyDescent="0.25">
      <c r="A173" s="95" t="s">
        <v>870</v>
      </c>
      <c r="B173" s="17" t="s">
        <v>141</v>
      </c>
      <c r="C173" s="5" t="str">
        <f>"619217492484"</f>
        <v>619217492484</v>
      </c>
      <c r="D173" s="2">
        <v>2.637</v>
      </c>
      <c r="E173" s="66" t="s">
        <v>420</v>
      </c>
      <c r="F173" s="6"/>
    </row>
    <row r="174" spans="1:6" x14ac:dyDescent="0.25">
      <c r="A174" s="95" t="s">
        <v>870</v>
      </c>
      <c r="B174" s="14" t="s">
        <v>141</v>
      </c>
      <c r="C174" s="5" t="str">
        <f>"619217492482"</f>
        <v>619217492482</v>
      </c>
      <c r="D174" s="2">
        <v>2.6789999999999998</v>
      </c>
      <c r="E174" s="66" t="s">
        <v>420</v>
      </c>
      <c r="F174" s="6"/>
    </row>
    <row r="175" spans="1:6" x14ac:dyDescent="0.25">
      <c r="A175" s="95" t="s">
        <v>870</v>
      </c>
      <c r="B175" s="17" t="s">
        <v>141</v>
      </c>
      <c r="C175" s="5" t="str">
        <f>"619217492479"</f>
        <v>619217492479</v>
      </c>
      <c r="D175" s="2">
        <v>2.8319999999999999</v>
      </c>
      <c r="E175" s="66" t="s">
        <v>420</v>
      </c>
      <c r="F175" s="6"/>
    </row>
    <row r="176" spans="1:6" x14ac:dyDescent="0.25">
      <c r="A176" s="95" t="s">
        <v>870</v>
      </c>
      <c r="B176" s="17" t="s">
        <v>141</v>
      </c>
      <c r="C176" s="5" t="str">
        <f>"619217492477"</f>
        <v>619217492477</v>
      </c>
      <c r="D176" s="2">
        <v>2.8769999999999998</v>
      </c>
      <c r="E176" s="66" t="s">
        <v>420</v>
      </c>
      <c r="F176" s="6"/>
    </row>
    <row r="177" spans="1:6" x14ac:dyDescent="0.25">
      <c r="A177" s="95" t="s">
        <v>870</v>
      </c>
      <c r="B177" s="17" t="s">
        <v>141</v>
      </c>
      <c r="C177" s="5" t="str">
        <f>"619217492475"</f>
        <v>619217492475</v>
      </c>
      <c r="D177" s="2">
        <v>2.8849999999999998</v>
      </c>
      <c r="E177" s="66" t="s">
        <v>420</v>
      </c>
      <c r="F177" s="6"/>
    </row>
    <row r="178" spans="1:6" x14ac:dyDescent="0.25">
      <c r="A178" s="95" t="s">
        <v>870</v>
      </c>
      <c r="B178" s="17" t="s">
        <v>141</v>
      </c>
      <c r="C178" s="5" t="str">
        <f>"619217492462"</f>
        <v>619217492462</v>
      </c>
      <c r="D178" s="2">
        <v>2.625</v>
      </c>
      <c r="E178" s="66" t="s">
        <v>420</v>
      </c>
      <c r="F178" s="6"/>
    </row>
    <row r="179" spans="1:6" x14ac:dyDescent="0.25">
      <c r="A179" s="95" t="s">
        <v>870</v>
      </c>
      <c r="B179" s="14" t="s">
        <v>141</v>
      </c>
      <c r="C179" s="5" t="str">
        <f>"619217492461"</f>
        <v>619217492461</v>
      </c>
      <c r="D179" s="2">
        <v>2.9830000000000001</v>
      </c>
      <c r="E179" s="66" t="s">
        <v>420</v>
      </c>
      <c r="F179" s="6"/>
    </row>
    <row r="180" spans="1:6" ht="15.75" thickBot="1" x14ac:dyDescent="0.3">
      <c r="A180" s="96" t="s">
        <v>870</v>
      </c>
      <c r="B180" s="481" t="s">
        <v>141</v>
      </c>
      <c r="C180" s="44" t="str">
        <f>"619217492460"</f>
        <v>619217492460</v>
      </c>
      <c r="D180" s="51">
        <v>3.0670000000000002</v>
      </c>
      <c r="E180" s="46" t="s">
        <v>420</v>
      </c>
      <c r="F180" s="6"/>
    </row>
    <row r="181" spans="1:6" x14ac:dyDescent="0.25">
      <c r="A181" s="156" t="s">
        <v>870</v>
      </c>
      <c r="B181" s="37" t="s">
        <v>161</v>
      </c>
      <c r="C181" s="48" t="str">
        <f>"619217492442"</f>
        <v>619217492442</v>
      </c>
      <c r="D181" s="49">
        <v>2.6040000000000001</v>
      </c>
      <c r="E181" s="39" t="s">
        <v>419</v>
      </c>
      <c r="F181" s="6"/>
    </row>
    <row r="182" spans="1:6" x14ac:dyDescent="0.25">
      <c r="A182" s="95" t="s">
        <v>870</v>
      </c>
      <c r="B182" s="14" t="s">
        <v>161</v>
      </c>
      <c r="C182" s="5" t="str">
        <f>"619217492441"</f>
        <v>619217492441</v>
      </c>
      <c r="D182" s="2">
        <v>2.673</v>
      </c>
      <c r="E182" s="41" t="s">
        <v>419</v>
      </c>
      <c r="F182" s="6"/>
    </row>
    <row r="183" spans="1:6" x14ac:dyDescent="0.25">
      <c r="A183" s="95" t="s">
        <v>870</v>
      </c>
      <c r="B183" s="14" t="s">
        <v>161</v>
      </c>
      <c r="C183" s="5" t="str">
        <f>"619217492440"</f>
        <v>619217492440</v>
      </c>
      <c r="D183" s="2">
        <v>2.6779999999999999</v>
      </c>
      <c r="E183" s="41" t="s">
        <v>419</v>
      </c>
      <c r="F183" s="6"/>
    </row>
    <row r="184" spans="1:6" x14ac:dyDescent="0.25">
      <c r="A184" s="235" t="s">
        <v>870</v>
      </c>
      <c r="B184" s="360" t="s">
        <v>161</v>
      </c>
      <c r="C184" s="106" t="str">
        <f>"619217492439"</f>
        <v>619217492439</v>
      </c>
      <c r="D184" s="179">
        <v>2.738</v>
      </c>
      <c r="E184" s="487" t="s">
        <v>419</v>
      </c>
      <c r="F184" s="6"/>
    </row>
    <row r="185" spans="1:6" x14ac:dyDescent="0.25">
      <c r="A185" s="26" t="s">
        <v>1088</v>
      </c>
      <c r="B185" s="309" t="s">
        <v>1087</v>
      </c>
      <c r="C185" s="2">
        <v>19201700063</v>
      </c>
      <c r="D185" s="2">
        <v>3.55</v>
      </c>
      <c r="E185" s="225" t="s">
        <v>419</v>
      </c>
    </row>
    <row r="186" spans="1:6" x14ac:dyDescent="0.25">
      <c r="A186" s="26" t="s">
        <v>1088</v>
      </c>
      <c r="B186" s="309" t="s">
        <v>1087</v>
      </c>
      <c r="C186" s="2">
        <v>19201700098</v>
      </c>
      <c r="D186" s="2">
        <v>3.39</v>
      </c>
      <c r="E186" s="225" t="s">
        <v>419</v>
      </c>
    </row>
    <row r="187" spans="1:6" x14ac:dyDescent="0.25">
      <c r="A187" s="26" t="s">
        <v>1088</v>
      </c>
      <c r="B187" s="309" t="s">
        <v>1087</v>
      </c>
      <c r="C187" s="2">
        <v>19201700081</v>
      </c>
      <c r="D187" s="2">
        <v>3.27</v>
      </c>
      <c r="E187" s="225" t="s">
        <v>419</v>
      </c>
    </row>
    <row r="188" spans="1:6" x14ac:dyDescent="0.25">
      <c r="A188" s="26" t="s">
        <v>1088</v>
      </c>
      <c r="B188" s="309" t="s">
        <v>1087</v>
      </c>
      <c r="C188" s="2">
        <v>19201700062</v>
      </c>
      <c r="D188" s="2">
        <v>2.97</v>
      </c>
      <c r="E188" s="225" t="s">
        <v>419</v>
      </c>
    </row>
    <row r="189" spans="1:6" x14ac:dyDescent="0.25">
      <c r="A189" s="26" t="s">
        <v>1088</v>
      </c>
      <c r="B189" s="309" t="s">
        <v>1087</v>
      </c>
      <c r="C189" s="2">
        <v>19201700066</v>
      </c>
      <c r="D189" s="2">
        <v>2.95</v>
      </c>
      <c r="E189" s="225" t="s">
        <v>419</v>
      </c>
    </row>
    <row r="190" spans="1:6" x14ac:dyDescent="0.25">
      <c r="A190" s="26" t="s">
        <v>1088</v>
      </c>
      <c r="B190" s="309" t="s">
        <v>1087</v>
      </c>
      <c r="C190" s="2">
        <v>19201700060</v>
      </c>
      <c r="D190" s="2">
        <v>2.92</v>
      </c>
      <c r="E190" s="226" t="s">
        <v>420</v>
      </c>
    </row>
    <row r="191" spans="1:6" x14ac:dyDescent="0.25">
      <c r="A191" s="26" t="s">
        <v>1088</v>
      </c>
      <c r="B191" s="309" t="s">
        <v>1087</v>
      </c>
      <c r="C191" s="2">
        <v>19201700087</v>
      </c>
      <c r="D191" s="2">
        <v>2.7</v>
      </c>
      <c r="E191" s="226" t="s">
        <v>420</v>
      </c>
    </row>
    <row r="192" spans="1:6" x14ac:dyDescent="0.25">
      <c r="A192" s="26" t="s">
        <v>1088</v>
      </c>
      <c r="B192" s="309" t="s">
        <v>1087</v>
      </c>
      <c r="C192" s="2">
        <v>19201700114</v>
      </c>
      <c r="D192" s="2">
        <v>2.15</v>
      </c>
      <c r="E192" s="226" t="s">
        <v>420</v>
      </c>
    </row>
    <row r="193" spans="1:5" x14ac:dyDescent="0.25">
      <c r="A193" s="26" t="s">
        <v>1088</v>
      </c>
      <c r="B193" s="309" t="s">
        <v>1087</v>
      </c>
      <c r="C193" s="2">
        <v>19201700110</v>
      </c>
      <c r="D193" s="2">
        <v>1.95</v>
      </c>
      <c r="E193" s="226" t="s">
        <v>420</v>
      </c>
    </row>
    <row r="194" spans="1:5" x14ac:dyDescent="0.25">
      <c r="A194" s="26" t="s">
        <v>1088</v>
      </c>
      <c r="B194" s="599" t="s">
        <v>1089</v>
      </c>
      <c r="C194" s="2">
        <v>19201700047</v>
      </c>
      <c r="D194" s="2">
        <v>3.39</v>
      </c>
      <c r="E194" s="225" t="s">
        <v>419</v>
      </c>
    </row>
    <row r="195" spans="1:5" x14ac:dyDescent="0.25">
      <c r="A195" s="26" t="s">
        <v>1088</v>
      </c>
      <c r="B195" s="599" t="s">
        <v>1089</v>
      </c>
      <c r="C195" s="2">
        <v>19201700102</v>
      </c>
      <c r="D195" s="2">
        <v>3.32</v>
      </c>
      <c r="E195" s="225" t="s">
        <v>419</v>
      </c>
    </row>
    <row r="196" spans="1:5" x14ac:dyDescent="0.25">
      <c r="A196" s="26" t="s">
        <v>1088</v>
      </c>
      <c r="B196" s="599" t="s">
        <v>1089</v>
      </c>
      <c r="C196" s="2">
        <v>19201700061</v>
      </c>
      <c r="D196" s="2">
        <v>3.29</v>
      </c>
      <c r="E196" s="225" t="s">
        <v>419</v>
      </c>
    </row>
    <row r="197" spans="1:5" x14ac:dyDescent="0.25">
      <c r="A197" s="26" t="s">
        <v>1088</v>
      </c>
      <c r="B197" s="599" t="s">
        <v>1089</v>
      </c>
      <c r="C197" s="2">
        <v>19201700101</v>
      </c>
      <c r="D197" s="2">
        <v>3.27</v>
      </c>
      <c r="E197" s="225" t="s">
        <v>419</v>
      </c>
    </row>
    <row r="198" spans="1:5" x14ac:dyDescent="0.25">
      <c r="A198" s="26" t="s">
        <v>1088</v>
      </c>
      <c r="B198" s="599" t="s">
        <v>1089</v>
      </c>
      <c r="C198" s="2">
        <v>19201700107</v>
      </c>
      <c r="D198" s="2">
        <v>3.25</v>
      </c>
      <c r="E198" s="225" t="s">
        <v>419</v>
      </c>
    </row>
    <row r="199" spans="1:5" x14ac:dyDescent="0.25">
      <c r="A199" s="26" t="s">
        <v>1088</v>
      </c>
      <c r="B199" s="599" t="s">
        <v>1089</v>
      </c>
      <c r="C199" s="2">
        <v>19201700115</v>
      </c>
      <c r="D199" s="2">
        <v>3.19</v>
      </c>
      <c r="E199" s="225" t="s">
        <v>419</v>
      </c>
    </row>
    <row r="200" spans="1:5" x14ac:dyDescent="0.25">
      <c r="A200" s="26" t="s">
        <v>1088</v>
      </c>
      <c r="B200" s="599" t="s">
        <v>1089</v>
      </c>
      <c r="C200" s="2">
        <v>19201700103</v>
      </c>
      <c r="D200" s="2">
        <v>2.94</v>
      </c>
      <c r="E200" s="226" t="s">
        <v>420</v>
      </c>
    </row>
    <row r="201" spans="1:5" x14ac:dyDescent="0.25">
      <c r="A201" s="26" t="s">
        <v>1088</v>
      </c>
      <c r="B201" s="599" t="s">
        <v>1089</v>
      </c>
      <c r="C201" s="2">
        <v>19201700109</v>
      </c>
      <c r="D201" s="2">
        <v>2.86</v>
      </c>
      <c r="E201" s="226" t="s">
        <v>420</v>
      </c>
    </row>
    <row r="202" spans="1:5" x14ac:dyDescent="0.25">
      <c r="A202" s="26" t="s">
        <v>1088</v>
      </c>
      <c r="B202" s="599" t="s">
        <v>1089</v>
      </c>
      <c r="C202" s="2">
        <v>19201700064</v>
      </c>
      <c r="D202" s="2">
        <v>2.77</v>
      </c>
      <c r="E202" s="226" t="s">
        <v>420</v>
      </c>
    </row>
    <row r="203" spans="1:5" x14ac:dyDescent="0.25">
      <c r="A203" s="26" t="s">
        <v>1088</v>
      </c>
      <c r="B203" s="599" t="s">
        <v>1089</v>
      </c>
      <c r="C203" s="2">
        <v>19201700059</v>
      </c>
      <c r="D203" s="2">
        <v>2.67</v>
      </c>
      <c r="E203" s="226" t="s">
        <v>420</v>
      </c>
    </row>
    <row r="204" spans="1:5" x14ac:dyDescent="0.25">
      <c r="A204" s="26" t="s">
        <v>1088</v>
      </c>
      <c r="B204" s="599" t="s">
        <v>1089</v>
      </c>
      <c r="C204" s="2">
        <v>19201700088</v>
      </c>
      <c r="D204" s="2">
        <v>2.66</v>
      </c>
      <c r="E204" s="226" t="s">
        <v>420</v>
      </c>
    </row>
    <row r="205" spans="1:5" x14ac:dyDescent="0.25">
      <c r="A205" s="26" t="s">
        <v>1088</v>
      </c>
      <c r="B205" s="309" t="s">
        <v>1090</v>
      </c>
      <c r="C205" s="2">
        <v>19201700106</v>
      </c>
      <c r="D205" s="2">
        <v>3.25</v>
      </c>
      <c r="E205" s="225" t="s">
        <v>419</v>
      </c>
    </row>
    <row r="206" spans="1:5" x14ac:dyDescent="0.25">
      <c r="A206" s="26" t="s">
        <v>1088</v>
      </c>
      <c r="B206" s="309" t="s">
        <v>1090</v>
      </c>
      <c r="C206" s="2">
        <v>19201700084</v>
      </c>
      <c r="D206" s="2">
        <v>3.12</v>
      </c>
      <c r="E206" s="225" t="s">
        <v>419</v>
      </c>
    </row>
    <row r="207" spans="1:5" x14ac:dyDescent="0.25">
      <c r="A207" s="26" t="s">
        <v>1088</v>
      </c>
      <c r="B207" s="309" t="s">
        <v>1090</v>
      </c>
      <c r="C207" s="2">
        <v>19201700065</v>
      </c>
      <c r="D207" s="2">
        <v>3.07</v>
      </c>
      <c r="E207" s="225" t="s">
        <v>419</v>
      </c>
    </row>
    <row r="208" spans="1:5" x14ac:dyDescent="0.25">
      <c r="A208" s="26" t="s">
        <v>1088</v>
      </c>
      <c r="B208" s="309" t="s">
        <v>1090</v>
      </c>
      <c r="C208" s="2">
        <v>19201700113</v>
      </c>
      <c r="D208" s="2">
        <v>2.97</v>
      </c>
      <c r="E208" s="225" t="s">
        <v>419</v>
      </c>
    </row>
    <row r="209" spans="1:5" x14ac:dyDescent="0.25">
      <c r="A209" s="26" t="s">
        <v>1088</v>
      </c>
      <c r="B209" s="309" t="s">
        <v>1090</v>
      </c>
      <c r="C209" s="2">
        <v>19201700082</v>
      </c>
      <c r="D209" s="2">
        <v>2.95</v>
      </c>
      <c r="E209" s="225" t="s">
        <v>419</v>
      </c>
    </row>
    <row r="210" spans="1:5" x14ac:dyDescent="0.25">
      <c r="A210" s="26" t="s">
        <v>1088</v>
      </c>
      <c r="B210" s="309" t="s">
        <v>1090</v>
      </c>
      <c r="C210" s="2">
        <v>19201700111</v>
      </c>
      <c r="D210" s="2">
        <v>2.89</v>
      </c>
      <c r="E210" s="226" t="s">
        <v>420</v>
      </c>
    </row>
    <row r="211" spans="1:5" x14ac:dyDescent="0.25">
      <c r="A211" s="26" t="s">
        <v>1088</v>
      </c>
      <c r="B211" s="309" t="s">
        <v>1090</v>
      </c>
      <c r="C211" s="2">
        <v>19201700056</v>
      </c>
      <c r="D211" s="2">
        <v>2.57</v>
      </c>
      <c r="E211" s="226" t="s">
        <v>420</v>
      </c>
    </row>
    <row r="212" spans="1:5" x14ac:dyDescent="0.25">
      <c r="A212" s="26" t="s">
        <v>1088</v>
      </c>
      <c r="B212" s="600" t="s">
        <v>1091</v>
      </c>
      <c r="C212" s="2">
        <v>19201700078</v>
      </c>
      <c r="D212" s="2">
        <v>3.2</v>
      </c>
      <c r="E212" s="225" t="s">
        <v>419</v>
      </c>
    </row>
    <row r="213" spans="1:5" x14ac:dyDescent="0.25">
      <c r="A213" s="26" t="s">
        <v>1088</v>
      </c>
      <c r="B213" s="600" t="s">
        <v>1091</v>
      </c>
      <c r="C213" s="2">
        <v>19201700105</v>
      </c>
      <c r="D213" s="2">
        <v>2.95</v>
      </c>
      <c r="E213" s="225" t="s">
        <v>419</v>
      </c>
    </row>
    <row r="214" spans="1:5" x14ac:dyDescent="0.25">
      <c r="A214" s="26" t="s">
        <v>1088</v>
      </c>
      <c r="B214" s="600" t="s">
        <v>1091</v>
      </c>
      <c r="C214" s="2">
        <v>19201700072</v>
      </c>
      <c r="D214" s="2">
        <v>2.69</v>
      </c>
      <c r="E214" s="226" t="s">
        <v>420</v>
      </c>
    </row>
    <row r="215" spans="1:5" x14ac:dyDescent="0.25">
      <c r="A215" s="26" t="s">
        <v>1088</v>
      </c>
      <c r="B215" s="600" t="s">
        <v>1092</v>
      </c>
      <c r="C215" s="2">
        <v>19201700116</v>
      </c>
      <c r="D215" s="2">
        <v>3.12</v>
      </c>
      <c r="E215" s="225" t="s">
        <v>419</v>
      </c>
    </row>
    <row r="216" spans="1:5" x14ac:dyDescent="0.25">
      <c r="A216" s="26" t="s">
        <v>1088</v>
      </c>
      <c r="B216" s="600" t="s">
        <v>1092</v>
      </c>
      <c r="C216" s="2">
        <v>19201700091</v>
      </c>
      <c r="D216" s="2">
        <v>2.9</v>
      </c>
      <c r="E216" s="225" t="s">
        <v>419</v>
      </c>
    </row>
    <row r="217" spans="1:5" x14ac:dyDescent="0.25">
      <c r="A217" s="26" t="s">
        <v>1088</v>
      </c>
      <c r="B217" s="600" t="s">
        <v>1093</v>
      </c>
      <c r="C217" s="2">
        <v>19201700093</v>
      </c>
      <c r="D217" s="2">
        <v>3.14</v>
      </c>
      <c r="E217" s="225" t="s">
        <v>419</v>
      </c>
    </row>
    <row r="218" spans="1:5" x14ac:dyDescent="0.25">
      <c r="A218" s="26" t="s">
        <v>1088</v>
      </c>
      <c r="B218" s="309" t="s">
        <v>1094</v>
      </c>
      <c r="C218" s="2">
        <v>19201700077</v>
      </c>
      <c r="D218" s="2">
        <v>2.74</v>
      </c>
      <c r="E218" s="225" t="s">
        <v>419</v>
      </c>
    </row>
    <row r="219" spans="1:5" x14ac:dyDescent="0.25">
      <c r="A219" s="26" t="s">
        <v>1088</v>
      </c>
      <c r="B219" s="309" t="s">
        <v>1094</v>
      </c>
      <c r="C219" s="2">
        <v>19201700067</v>
      </c>
      <c r="D219" s="2">
        <v>2.72</v>
      </c>
      <c r="E219" s="225" t="s">
        <v>419</v>
      </c>
    </row>
    <row r="220" spans="1:5" x14ac:dyDescent="0.25">
      <c r="A220" s="26" t="s">
        <v>1088</v>
      </c>
      <c r="B220" s="309" t="s">
        <v>1094</v>
      </c>
      <c r="C220" s="2">
        <v>19201700089</v>
      </c>
      <c r="D220" s="2">
        <v>2.65</v>
      </c>
      <c r="E220" s="226" t="s">
        <v>420</v>
      </c>
    </row>
    <row r="221" spans="1:5" x14ac:dyDescent="0.25">
      <c r="A221" s="26" t="s">
        <v>1088</v>
      </c>
      <c r="B221" s="309" t="s">
        <v>1094</v>
      </c>
      <c r="C221" s="2">
        <v>19201700100</v>
      </c>
      <c r="D221" s="2">
        <v>2.35</v>
      </c>
      <c r="E221" s="226" t="s">
        <v>420</v>
      </c>
    </row>
    <row r="222" spans="1:5" x14ac:dyDescent="0.25">
      <c r="A222" s="26" t="s">
        <v>1088</v>
      </c>
      <c r="B222" s="309" t="s">
        <v>1094</v>
      </c>
      <c r="C222" s="2">
        <v>19201700068</v>
      </c>
      <c r="D222" s="2">
        <v>2.15</v>
      </c>
      <c r="E222" s="226" t="s">
        <v>420</v>
      </c>
    </row>
    <row r="223" spans="1:5" x14ac:dyDescent="0.25">
      <c r="A223" s="26" t="s">
        <v>1088</v>
      </c>
      <c r="B223" s="309" t="s">
        <v>1095</v>
      </c>
      <c r="C223" s="2">
        <v>19201700096</v>
      </c>
      <c r="D223" s="2">
        <v>3.44</v>
      </c>
      <c r="E223" s="225" t="s">
        <v>419</v>
      </c>
    </row>
    <row r="224" spans="1:5" x14ac:dyDescent="0.25">
      <c r="A224" s="26" t="s">
        <v>1088</v>
      </c>
      <c r="B224" s="309" t="s">
        <v>1095</v>
      </c>
      <c r="C224" s="2">
        <v>19201700090</v>
      </c>
      <c r="D224" s="2">
        <v>3.33</v>
      </c>
      <c r="E224" s="225" t="s">
        <v>419</v>
      </c>
    </row>
    <row r="225" spans="1:5" x14ac:dyDescent="0.25">
      <c r="A225" s="26" t="s">
        <v>1088</v>
      </c>
      <c r="B225" s="309" t="s">
        <v>1095</v>
      </c>
      <c r="C225" s="2">
        <v>19201700086</v>
      </c>
      <c r="D225" s="2">
        <v>3.02</v>
      </c>
      <c r="E225" s="226" t="s">
        <v>420</v>
      </c>
    </row>
    <row r="226" spans="1:5" x14ac:dyDescent="0.25">
      <c r="A226" s="26" t="s">
        <v>1088</v>
      </c>
      <c r="B226" s="309" t="s">
        <v>1095</v>
      </c>
      <c r="C226" s="2">
        <v>19201700076</v>
      </c>
      <c r="D226" s="2">
        <v>2.89</v>
      </c>
      <c r="E226" s="226" t="s">
        <v>420</v>
      </c>
    </row>
    <row r="227" spans="1:5" x14ac:dyDescent="0.25">
      <c r="A227" s="26" t="s">
        <v>1088</v>
      </c>
      <c r="B227" s="11" t="s">
        <v>161</v>
      </c>
      <c r="C227" s="2">
        <v>19201700070</v>
      </c>
      <c r="D227" s="2">
        <v>3.4</v>
      </c>
      <c r="E227" s="225" t="s">
        <v>419</v>
      </c>
    </row>
    <row r="228" spans="1:5" x14ac:dyDescent="0.25">
      <c r="A228" s="26" t="s">
        <v>1088</v>
      </c>
      <c r="B228" s="11" t="s">
        <v>161</v>
      </c>
      <c r="C228" s="2">
        <v>19201700071</v>
      </c>
      <c r="D228" s="2">
        <v>3.28</v>
      </c>
      <c r="E228" s="225" t="s">
        <v>419</v>
      </c>
    </row>
    <row r="229" spans="1:5" x14ac:dyDescent="0.25">
      <c r="A229" s="26" t="s">
        <v>1088</v>
      </c>
      <c r="B229" s="11" t="s">
        <v>161</v>
      </c>
      <c r="C229" s="2">
        <v>19201700092</v>
      </c>
      <c r="D229" s="2">
        <v>3.27</v>
      </c>
      <c r="E229" s="225" t="s">
        <v>419</v>
      </c>
    </row>
    <row r="230" spans="1:5" x14ac:dyDescent="0.25">
      <c r="A230" s="26" t="s">
        <v>1088</v>
      </c>
      <c r="B230" s="11" t="s">
        <v>161</v>
      </c>
      <c r="C230" s="2">
        <v>19201700074</v>
      </c>
      <c r="D230" s="2">
        <v>3</v>
      </c>
      <c r="E230" s="225" t="s">
        <v>419</v>
      </c>
    </row>
    <row r="231" spans="1:5" x14ac:dyDescent="0.25">
      <c r="A231" s="375" t="s">
        <v>1088</v>
      </c>
      <c r="B231" s="480" t="s">
        <v>161</v>
      </c>
      <c r="C231" s="179">
        <v>19201700095</v>
      </c>
      <c r="D231" s="179">
        <v>2.8</v>
      </c>
      <c r="E231" s="383" t="s">
        <v>420</v>
      </c>
    </row>
    <row r="232" spans="1:5" x14ac:dyDescent="0.25">
      <c r="A232" s="26" t="s">
        <v>1088</v>
      </c>
      <c r="B232" s="2" t="s">
        <v>1097</v>
      </c>
      <c r="C232" s="2">
        <v>19201700097</v>
      </c>
      <c r="D232" s="2">
        <v>3.59</v>
      </c>
      <c r="E232" s="225" t="s">
        <v>419</v>
      </c>
    </row>
    <row r="233" spans="1:5" x14ac:dyDescent="0.25">
      <c r="A233" s="26" t="s">
        <v>1088</v>
      </c>
      <c r="B233" s="2" t="s">
        <v>1097</v>
      </c>
      <c r="C233" s="2">
        <v>19201700079</v>
      </c>
      <c r="D233" s="2">
        <v>3.46</v>
      </c>
      <c r="E233" s="225" t="s">
        <v>419</v>
      </c>
    </row>
    <row r="234" spans="1:5" x14ac:dyDescent="0.25">
      <c r="A234" s="26" t="s">
        <v>1088</v>
      </c>
      <c r="B234" s="2" t="s">
        <v>1097</v>
      </c>
      <c r="C234" s="2">
        <v>19201700108</v>
      </c>
      <c r="D234" s="2">
        <v>3.35</v>
      </c>
      <c r="E234" s="225" t="s">
        <v>419</v>
      </c>
    </row>
    <row r="235" spans="1:5" x14ac:dyDescent="0.25">
      <c r="A235" s="26" t="s">
        <v>1088</v>
      </c>
      <c r="B235" s="2" t="s">
        <v>1097</v>
      </c>
      <c r="C235" s="2">
        <v>19201700085</v>
      </c>
      <c r="D235" s="2">
        <v>3.3</v>
      </c>
      <c r="E235" s="225" t="s">
        <v>419</v>
      </c>
    </row>
    <row r="236" spans="1:5" x14ac:dyDescent="0.25">
      <c r="A236" s="26" t="s">
        <v>1088</v>
      </c>
      <c r="B236" s="2" t="s">
        <v>1097</v>
      </c>
      <c r="C236" s="2">
        <v>19201700104</v>
      </c>
      <c r="D236" s="2">
        <v>3.16</v>
      </c>
      <c r="E236" s="225" t="s">
        <v>419</v>
      </c>
    </row>
    <row r="237" spans="1:5" x14ac:dyDescent="0.25">
      <c r="A237" s="26" t="s">
        <v>1088</v>
      </c>
      <c r="B237" s="2" t="s">
        <v>1097</v>
      </c>
      <c r="C237" s="2">
        <v>19201700094</v>
      </c>
      <c r="D237" s="2">
        <v>3.08</v>
      </c>
      <c r="E237" s="225" t="s">
        <v>419</v>
      </c>
    </row>
    <row r="238" spans="1:5" x14ac:dyDescent="0.25">
      <c r="A238" s="26" t="s">
        <v>1109</v>
      </c>
      <c r="B238" s="11" t="s">
        <v>111</v>
      </c>
      <c r="C238" s="2">
        <v>19201800470</v>
      </c>
      <c r="D238" s="2">
        <v>3.67</v>
      </c>
      <c r="E238" s="225" t="s">
        <v>419</v>
      </c>
    </row>
    <row r="239" spans="1:5" x14ac:dyDescent="0.25">
      <c r="A239" s="26" t="s">
        <v>1109</v>
      </c>
      <c r="B239" s="11" t="s">
        <v>111</v>
      </c>
      <c r="C239" s="2">
        <v>19201800461</v>
      </c>
      <c r="D239" s="2">
        <v>3.5</v>
      </c>
      <c r="E239" s="225" t="s">
        <v>419</v>
      </c>
    </row>
    <row r="240" spans="1:5" x14ac:dyDescent="0.25">
      <c r="A240" s="26" t="s">
        <v>1109</v>
      </c>
      <c r="B240" s="11" t="s">
        <v>111</v>
      </c>
      <c r="C240" s="2">
        <v>19201800469</v>
      </c>
      <c r="D240" s="2">
        <v>3.42</v>
      </c>
      <c r="E240" s="225" t="s">
        <v>419</v>
      </c>
    </row>
    <row r="241" spans="1:5" x14ac:dyDescent="0.25">
      <c r="A241" s="26" t="s">
        <v>1109</v>
      </c>
      <c r="B241" s="11" t="s">
        <v>111</v>
      </c>
      <c r="C241" s="2">
        <v>19201800444</v>
      </c>
      <c r="D241" s="2">
        <v>3.31</v>
      </c>
      <c r="E241" s="225" t="s">
        <v>419</v>
      </c>
    </row>
    <row r="242" spans="1:5" x14ac:dyDescent="0.25">
      <c r="A242" s="26" t="s">
        <v>1109</v>
      </c>
      <c r="B242" s="11" t="s">
        <v>111</v>
      </c>
      <c r="C242" s="2">
        <v>19201800466</v>
      </c>
      <c r="D242" s="2">
        <v>3.05</v>
      </c>
      <c r="E242" s="225" t="s">
        <v>419</v>
      </c>
    </row>
    <row r="243" spans="1:5" x14ac:dyDescent="0.25">
      <c r="A243" s="26" t="s">
        <v>1109</v>
      </c>
      <c r="B243" s="11" t="s">
        <v>111</v>
      </c>
      <c r="C243" s="2">
        <v>19201800404</v>
      </c>
      <c r="D243" s="2">
        <v>2.94</v>
      </c>
      <c r="E243" s="225" t="s">
        <v>419</v>
      </c>
    </row>
    <row r="244" spans="1:5" x14ac:dyDescent="0.25">
      <c r="A244" s="26" t="s">
        <v>1109</v>
      </c>
      <c r="B244" s="11" t="s">
        <v>111</v>
      </c>
      <c r="C244" s="2">
        <v>19201800435</v>
      </c>
      <c r="D244" s="2">
        <v>2.89</v>
      </c>
      <c r="E244" s="225" t="s">
        <v>419</v>
      </c>
    </row>
    <row r="245" spans="1:5" x14ac:dyDescent="0.25">
      <c r="A245" s="26" t="s">
        <v>1109</v>
      </c>
      <c r="B245" s="11" t="s">
        <v>111</v>
      </c>
      <c r="C245" s="2">
        <v>19201800356</v>
      </c>
      <c r="D245" s="2">
        <v>2.69</v>
      </c>
      <c r="E245" s="225" t="s">
        <v>419</v>
      </c>
    </row>
    <row r="246" spans="1:5" x14ac:dyDescent="0.25">
      <c r="A246" s="26" t="s">
        <v>1109</v>
      </c>
      <c r="B246" s="11" t="s">
        <v>111</v>
      </c>
      <c r="C246" s="2">
        <v>19201800459</v>
      </c>
      <c r="D246" s="2">
        <v>2.54</v>
      </c>
      <c r="E246" s="225" t="s">
        <v>419</v>
      </c>
    </row>
    <row r="247" spans="1:5" x14ac:dyDescent="0.25">
      <c r="A247" s="26" t="s">
        <v>1109</v>
      </c>
      <c r="B247" s="11" t="s">
        <v>1110</v>
      </c>
      <c r="C247" s="2">
        <v>19201800451</v>
      </c>
      <c r="D247" s="2">
        <v>3.37</v>
      </c>
      <c r="E247" s="225" t="s">
        <v>419</v>
      </c>
    </row>
    <row r="248" spans="1:5" x14ac:dyDescent="0.25">
      <c r="A248" s="26" t="s">
        <v>1109</v>
      </c>
      <c r="B248" s="11" t="s">
        <v>1110</v>
      </c>
      <c r="C248" s="2">
        <v>19201800434</v>
      </c>
      <c r="D248" s="2">
        <v>2.94</v>
      </c>
      <c r="E248" s="225" t="s">
        <v>419</v>
      </c>
    </row>
    <row r="249" spans="1:5" x14ac:dyDescent="0.25">
      <c r="A249" s="26" t="s">
        <v>1109</v>
      </c>
      <c r="B249" s="11" t="s">
        <v>1110</v>
      </c>
      <c r="C249" s="2">
        <v>19201800472</v>
      </c>
      <c r="D249" s="2">
        <v>2.76</v>
      </c>
      <c r="E249" s="225" t="s">
        <v>419</v>
      </c>
    </row>
    <row r="250" spans="1:5" x14ac:dyDescent="0.25">
      <c r="A250" s="26" t="s">
        <v>1109</v>
      </c>
      <c r="B250" s="11" t="s">
        <v>1092</v>
      </c>
      <c r="C250" s="2">
        <v>19201800458</v>
      </c>
      <c r="D250" s="2">
        <v>3.19</v>
      </c>
      <c r="E250" s="225" t="s">
        <v>419</v>
      </c>
    </row>
    <row r="251" spans="1:5" x14ac:dyDescent="0.25">
      <c r="A251" s="26" t="s">
        <v>1109</v>
      </c>
      <c r="B251" s="11" t="s">
        <v>1092</v>
      </c>
      <c r="C251" s="2">
        <v>19201800477</v>
      </c>
      <c r="D251" s="2">
        <v>2.52</v>
      </c>
      <c r="E251" s="225" t="s">
        <v>419</v>
      </c>
    </row>
    <row r="252" spans="1:5" x14ac:dyDescent="0.25">
      <c r="A252" s="26" t="s">
        <v>1109</v>
      </c>
      <c r="B252" s="11" t="s">
        <v>1093</v>
      </c>
      <c r="C252" s="2">
        <v>19201800462</v>
      </c>
      <c r="D252" s="2">
        <v>3.45</v>
      </c>
      <c r="E252" s="225" t="s">
        <v>419</v>
      </c>
    </row>
    <row r="253" spans="1:5" x14ac:dyDescent="0.25">
      <c r="A253" s="26" t="s">
        <v>1109</v>
      </c>
      <c r="B253" s="11" t="s">
        <v>1093</v>
      </c>
      <c r="C253" s="2">
        <v>19201800457</v>
      </c>
      <c r="D253" s="2">
        <v>3.14</v>
      </c>
      <c r="E253" s="225" t="s">
        <v>419</v>
      </c>
    </row>
    <row r="254" spans="1:5" x14ac:dyDescent="0.25">
      <c r="A254" s="26" t="s">
        <v>1109</v>
      </c>
      <c r="B254" s="11" t="s">
        <v>1093</v>
      </c>
      <c r="C254" s="2">
        <v>19201800456</v>
      </c>
      <c r="D254" s="2">
        <v>2.74</v>
      </c>
      <c r="E254" s="225" t="s">
        <v>419</v>
      </c>
    </row>
    <row r="255" spans="1:5" x14ac:dyDescent="0.25">
      <c r="A255" s="26" t="s">
        <v>1109</v>
      </c>
      <c r="B255" s="11" t="s">
        <v>161</v>
      </c>
      <c r="C255" s="2">
        <v>19201800640</v>
      </c>
      <c r="D255" s="2">
        <v>3.14</v>
      </c>
      <c r="E255" s="225" t="s">
        <v>419</v>
      </c>
    </row>
    <row r="256" spans="1:5" x14ac:dyDescent="0.25">
      <c r="A256" s="26" t="s">
        <v>1109</v>
      </c>
      <c r="B256" s="11" t="s">
        <v>161</v>
      </c>
      <c r="C256" s="2">
        <v>19201800476</v>
      </c>
      <c r="D256" s="2">
        <v>3.1</v>
      </c>
      <c r="E256" s="225" t="s">
        <v>419</v>
      </c>
    </row>
    <row r="257" spans="1:5" x14ac:dyDescent="0.25">
      <c r="A257" s="26" t="s">
        <v>1109</v>
      </c>
      <c r="B257" s="11" t="s">
        <v>161</v>
      </c>
      <c r="C257" s="2">
        <v>19201800429</v>
      </c>
      <c r="D257" s="2">
        <v>2.84</v>
      </c>
      <c r="E257" s="225" t="s">
        <v>419</v>
      </c>
    </row>
    <row r="258" spans="1:5" x14ac:dyDescent="0.25">
      <c r="A258" s="26" t="s">
        <v>1181</v>
      </c>
      <c r="B258" s="11" t="s">
        <v>1180</v>
      </c>
      <c r="C258" s="2">
        <v>19201900072</v>
      </c>
      <c r="D258" s="2">
        <v>3.41</v>
      </c>
      <c r="E258" s="225" t="s">
        <v>419</v>
      </c>
    </row>
    <row r="259" spans="1:5" x14ac:dyDescent="0.25">
      <c r="A259" s="26" t="s">
        <v>1181</v>
      </c>
      <c r="B259" s="11" t="s">
        <v>1180</v>
      </c>
      <c r="C259" s="2">
        <v>19201900010</v>
      </c>
      <c r="D259" s="2">
        <v>3.35</v>
      </c>
      <c r="E259" s="225" t="s">
        <v>419</v>
      </c>
    </row>
    <row r="260" spans="1:5" x14ac:dyDescent="0.25">
      <c r="A260" s="26" t="s">
        <v>1181</v>
      </c>
      <c r="B260" s="11" t="s">
        <v>1180</v>
      </c>
      <c r="C260" s="2">
        <v>19201900049</v>
      </c>
      <c r="D260" s="2">
        <v>3.04</v>
      </c>
      <c r="E260" s="225" t="s">
        <v>419</v>
      </c>
    </row>
    <row r="261" spans="1:5" x14ac:dyDescent="0.25">
      <c r="A261" s="26" t="s">
        <v>1181</v>
      </c>
      <c r="B261" s="11" t="s">
        <v>1180</v>
      </c>
      <c r="C261" s="2">
        <v>19201900007</v>
      </c>
      <c r="D261" s="2">
        <v>2.72</v>
      </c>
      <c r="E261" s="225" t="s">
        <v>419</v>
      </c>
    </row>
    <row r="262" spans="1:5" x14ac:dyDescent="0.25">
      <c r="A262" s="26" t="s">
        <v>1181</v>
      </c>
      <c r="B262" s="11" t="s">
        <v>1182</v>
      </c>
      <c r="C262" s="2">
        <v>19201900047</v>
      </c>
      <c r="D262" s="2">
        <v>3.61</v>
      </c>
      <c r="E262" s="225" t="s">
        <v>419</v>
      </c>
    </row>
    <row r="263" spans="1:5" x14ac:dyDescent="0.25">
      <c r="A263" s="26" t="s">
        <v>1181</v>
      </c>
      <c r="B263" s="11" t="s">
        <v>1182</v>
      </c>
      <c r="C263" s="2">
        <v>19201900079</v>
      </c>
      <c r="D263" s="2">
        <v>3.45</v>
      </c>
      <c r="E263" s="225" t="s">
        <v>419</v>
      </c>
    </row>
    <row r="264" spans="1:5" x14ac:dyDescent="0.25">
      <c r="A264" s="26" t="s">
        <v>1181</v>
      </c>
      <c r="B264" s="11" t="s">
        <v>1182</v>
      </c>
      <c r="C264" s="2">
        <v>19201900018</v>
      </c>
      <c r="D264" s="2">
        <v>3.33</v>
      </c>
      <c r="E264" s="225" t="s">
        <v>419</v>
      </c>
    </row>
    <row r="265" spans="1:5" x14ac:dyDescent="0.25">
      <c r="A265" s="26" t="s">
        <v>1181</v>
      </c>
      <c r="B265" s="11" t="s">
        <v>1182</v>
      </c>
      <c r="C265" s="2">
        <v>19201900013</v>
      </c>
      <c r="D265" s="2">
        <v>3.15</v>
      </c>
      <c r="E265" s="225" t="s">
        <v>419</v>
      </c>
    </row>
    <row r="266" spans="1:5" x14ac:dyDescent="0.25">
      <c r="A266" s="26" t="s">
        <v>1181</v>
      </c>
      <c r="B266" s="11" t="s">
        <v>1182</v>
      </c>
      <c r="C266" s="2">
        <v>19201900048</v>
      </c>
      <c r="D266" s="2">
        <v>3.09</v>
      </c>
      <c r="E266" s="225" t="s">
        <v>419</v>
      </c>
    </row>
    <row r="267" spans="1:5" x14ac:dyDescent="0.25">
      <c r="A267" s="26" t="s">
        <v>1181</v>
      </c>
      <c r="B267" s="11" t="s">
        <v>1182</v>
      </c>
      <c r="C267" s="2">
        <v>19201900056</v>
      </c>
      <c r="D267" s="2">
        <v>3.06</v>
      </c>
      <c r="E267" s="225" t="s">
        <v>419</v>
      </c>
    </row>
    <row r="268" spans="1:5" x14ac:dyDescent="0.25">
      <c r="A268" s="26" t="s">
        <v>1181</v>
      </c>
      <c r="B268" s="11" t="s">
        <v>1182</v>
      </c>
      <c r="C268" s="2">
        <v>19201900005</v>
      </c>
      <c r="D268" s="2">
        <v>2.91</v>
      </c>
      <c r="E268" s="226" t="s">
        <v>420</v>
      </c>
    </row>
    <row r="269" spans="1:5" x14ac:dyDescent="0.25">
      <c r="A269" s="26" t="s">
        <v>1181</v>
      </c>
      <c r="B269" s="11" t="s">
        <v>1182</v>
      </c>
      <c r="C269" s="2">
        <v>19201900016</v>
      </c>
      <c r="D269" s="2">
        <v>2.6</v>
      </c>
      <c r="E269" s="226" t="s">
        <v>420</v>
      </c>
    </row>
    <row r="270" spans="1:5" x14ac:dyDescent="0.25">
      <c r="A270" s="26" t="s">
        <v>1181</v>
      </c>
      <c r="B270" s="11" t="s">
        <v>1087</v>
      </c>
      <c r="C270" s="2">
        <v>19201900021</v>
      </c>
      <c r="D270" s="2">
        <v>3.45</v>
      </c>
      <c r="E270" s="225" t="s">
        <v>419</v>
      </c>
    </row>
    <row r="271" spans="1:5" x14ac:dyDescent="0.25">
      <c r="A271" s="26" t="s">
        <v>1181</v>
      </c>
      <c r="B271" s="11" t="s">
        <v>1087</v>
      </c>
      <c r="C271" s="2">
        <v>19201900066</v>
      </c>
      <c r="D271" s="2">
        <v>3.21</v>
      </c>
      <c r="E271" s="225" t="s">
        <v>419</v>
      </c>
    </row>
    <row r="272" spans="1:5" x14ac:dyDescent="0.25">
      <c r="A272" s="26" t="s">
        <v>1181</v>
      </c>
      <c r="B272" s="11" t="s">
        <v>1087</v>
      </c>
      <c r="C272" s="2">
        <v>19201900001</v>
      </c>
      <c r="D272" s="2">
        <v>3.16</v>
      </c>
      <c r="E272" s="225" t="s">
        <v>419</v>
      </c>
    </row>
    <row r="273" spans="1:5" x14ac:dyDescent="0.25">
      <c r="A273" s="26" t="s">
        <v>1181</v>
      </c>
      <c r="B273" s="11" t="s">
        <v>1087</v>
      </c>
      <c r="C273" s="2">
        <v>19201900003</v>
      </c>
      <c r="D273" s="2">
        <v>3.05</v>
      </c>
      <c r="E273" s="225" t="s">
        <v>419</v>
      </c>
    </row>
    <row r="274" spans="1:5" x14ac:dyDescent="0.25">
      <c r="A274" s="26" t="s">
        <v>1181</v>
      </c>
      <c r="B274" s="11" t="s">
        <v>1087</v>
      </c>
      <c r="C274" s="2">
        <v>19201900057</v>
      </c>
      <c r="D274" s="2">
        <v>3.01</v>
      </c>
      <c r="E274" s="225" t="s">
        <v>419</v>
      </c>
    </row>
    <row r="275" spans="1:5" x14ac:dyDescent="0.25">
      <c r="A275" s="26" t="s">
        <v>1181</v>
      </c>
      <c r="B275" s="11" t="s">
        <v>1087</v>
      </c>
      <c r="C275" s="2">
        <v>19201900015</v>
      </c>
      <c r="D275" s="2">
        <v>2.77</v>
      </c>
      <c r="E275" s="225" t="s">
        <v>419</v>
      </c>
    </row>
    <row r="276" spans="1:5" x14ac:dyDescent="0.25">
      <c r="A276" s="26" t="s">
        <v>1181</v>
      </c>
      <c r="B276" s="11" t="s">
        <v>1087</v>
      </c>
      <c r="C276" s="2">
        <v>19201900087</v>
      </c>
      <c r="D276" s="2">
        <v>2.54</v>
      </c>
      <c r="E276" s="225" t="s">
        <v>419</v>
      </c>
    </row>
    <row r="277" spans="1:5" x14ac:dyDescent="0.25">
      <c r="A277" s="26" t="s">
        <v>1181</v>
      </c>
      <c r="B277" s="11" t="s">
        <v>1087</v>
      </c>
      <c r="C277" s="2">
        <v>19201900076</v>
      </c>
      <c r="D277" s="2">
        <v>2.27</v>
      </c>
      <c r="E277" s="226" t="s">
        <v>420</v>
      </c>
    </row>
    <row r="278" spans="1:5" x14ac:dyDescent="0.25">
      <c r="A278" s="26" t="s">
        <v>1181</v>
      </c>
      <c r="B278" s="11" t="s">
        <v>1089</v>
      </c>
      <c r="C278" s="2">
        <v>19201900063</v>
      </c>
      <c r="D278" s="2">
        <v>3.68</v>
      </c>
      <c r="E278" s="225" t="s">
        <v>419</v>
      </c>
    </row>
    <row r="279" spans="1:5" x14ac:dyDescent="0.25">
      <c r="A279" s="26" t="s">
        <v>1181</v>
      </c>
      <c r="B279" s="11" t="s">
        <v>1089</v>
      </c>
      <c r="C279" s="2">
        <v>19201900036</v>
      </c>
      <c r="D279" s="2">
        <v>3.42</v>
      </c>
      <c r="E279" s="225" t="s">
        <v>419</v>
      </c>
    </row>
    <row r="280" spans="1:5" x14ac:dyDescent="0.25">
      <c r="A280" s="26" t="s">
        <v>1181</v>
      </c>
      <c r="B280" s="11" t="s">
        <v>1089</v>
      </c>
      <c r="C280" s="2">
        <v>19201900009</v>
      </c>
      <c r="D280" s="2">
        <v>3.18</v>
      </c>
      <c r="E280" s="225" t="s">
        <v>419</v>
      </c>
    </row>
    <row r="281" spans="1:5" x14ac:dyDescent="0.25">
      <c r="A281" s="26" t="s">
        <v>1181</v>
      </c>
      <c r="B281" s="11" t="s">
        <v>1089</v>
      </c>
      <c r="C281" s="2">
        <v>19201900014</v>
      </c>
      <c r="D281" s="2">
        <v>3.04</v>
      </c>
      <c r="E281" s="225" t="s">
        <v>419</v>
      </c>
    </row>
    <row r="282" spans="1:5" x14ac:dyDescent="0.25">
      <c r="A282" s="26" t="s">
        <v>1181</v>
      </c>
      <c r="B282" s="11" t="s">
        <v>1089</v>
      </c>
      <c r="C282" s="2">
        <v>19201900040</v>
      </c>
      <c r="D282" s="2">
        <v>3.03</v>
      </c>
      <c r="E282" s="225" t="s">
        <v>419</v>
      </c>
    </row>
    <row r="283" spans="1:5" x14ac:dyDescent="0.25">
      <c r="A283" s="26" t="s">
        <v>1181</v>
      </c>
      <c r="B283" s="11" t="s">
        <v>1089</v>
      </c>
      <c r="C283" s="2">
        <v>19201900023</v>
      </c>
      <c r="D283" s="2">
        <v>3.02</v>
      </c>
      <c r="E283" s="225" t="s">
        <v>419</v>
      </c>
    </row>
    <row r="284" spans="1:5" x14ac:dyDescent="0.25">
      <c r="A284" s="26" t="s">
        <v>1181</v>
      </c>
      <c r="B284" s="11" t="s">
        <v>1089</v>
      </c>
      <c r="C284" s="2">
        <v>19201900004</v>
      </c>
      <c r="D284" s="2">
        <v>2.96</v>
      </c>
      <c r="E284" s="225" t="s">
        <v>419</v>
      </c>
    </row>
    <row r="285" spans="1:5" x14ac:dyDescent="0.25">
      <c r="A285" s="26" t="s">
        <v>1181</v>
      </c>
      <c r="B285" s="11" t="s">
        <v>1089</v>
      </c>
      <c r="C285" s="2">
        <v>19201900017</v>
      </c>
      <c r="D285" s="2">
        <v>2.94</v>
      </c>
      <c r="E285" s="225" t="s">
        <v>419</v>
      </c>
    </row>
    <row r="286" spans="1:5" x14ac:dyDescent="0.25">
      <c r="A286" s="26" t="s">
        <v>1181</v>
      </c>
      <c r="B286" s="11" t="s">
        <v>1089</v>
      </c>
      <c r="C286" s="2">
        <v>19201900064</v>
      </c>
      <c r="D286" s="2">
        <v>2.93</v>
      </c>
      <c r="E286" s="225" t="s">
        <v>419</v>
      </c>
    </row>
    <row r="287" spans="1:5" x14ac:dyDescent="0.25">
      <c r="A287" s="26" t="s">
        <v>1181</v>
      </c>
      <c r="B287" s="11" t="s">
        <v>1089</v>
      </c>
      <c r="C287" s="2">
        <v>19201900067</v>
      </c>
      <c r="D287" s="2">
        <v>2.9</v>
      </c>
      <c r="E287" s="225" t="s">
        <v>419</v>
      </c>
    </row>
    <row r="288" spans="1:5" x14ac:dyDescent="0.25">
      <c r="A288" s="26" t="s">
        <v>1181</v>
      </c>
      <c r="B288" s="11" t="s">
        <v>1089</v>
      </c>
      <c r="C288" s="2">
        <v>19201900073</v>
      </c>
      <c r="D288" s="2">
        <v>2.76</v>
      </c>
      <c r="E288" s="226" t="s">
        <v>420</v>
      </c>
    </row>
    <row r="289" spans="1:5" x14ac:dyDescent="0.25">
      <c r="A289" s="26" t="s">
        <v>1181</v>
      </c>
      <c r="B289" s="11" t="s">
        <v>1089</v>
      </c>
      <c r="C289" s="2">
        <v>19201900002</v>
      </c>
      <c r="D289" s="2">
        <v>2.67</v>
      </c>
      <c r="E289" s="226" t="s">
        <v>420</v>
      </c>
    </row>
    <row r="290" spans="1:5" x14ac:dyDescent="0.25">
      <c r="A290" s="26" t="s">
        <v>1181</v>
      </c>
      <c r="B290" s="11" t="s">
        <v>1089</v>
      </c>
      <c r="C290" s="2">
        <v>19201900026</v>
      </c>
      <c r="D290" s="2">
        <v>2.5099999999999998</v>
      </c>
      <c r="E290" s="226" t="s">
        <v>420</v>
      </c>
    </row>
    <row r="291" spans="1:5" x14ac:dyDescent="0.25">
      <c r="A291" s="26" t="s">
        <v>1181</v>
      </c>
      <c r="B291" s="11" t="s">
        <v>1089</v>
      </c>
      <c r="C291" s="2">
        <v>19201900039</v>
      </c>
      <c r="D291" s="2">
        <v>2.5</v>
      </c>
      <c r="E291" s="226" t="s">
        <v>420</v>
      </c>
    </row>
    <row r="292" spans="1:5" x14ac:dyDescent="0.25">
      <c r="A292" s="26" t="s">
        <v>1181</v>
      </c>
      <c r="B292" s="11" t="s">
        <v>1089</v>
      </c>
      <c r="C292" s="2">
        <v>19201900011</v>
      </c>
      <c r="D292" s="2">
        <v>2.2200000000000002</v>
      </c>
      <c r="E292" s="226" t="s">
        <v>420</v>
      </c>
    </row>
    <row r="293" spans="1:5" x14ac:dyDescent="0.25">
      <c r="A293" s="26" t="s">
        <v>1181</v>
      </c>
      <c r="B293" s="11" t="s">
        <v>1089</v>
      </c>
      <c r="C293" s="2">
        <v>19201900029</v>
      </c>
      <c r="D293" s="2">
        <v>2.21</v>
      </c>
      <c r="E293" s="226" t="s">
        <v>420</v>
      </c>
    </row>
    <row r="294" spans="1:5" x14ac:dyDescent="0.25">
      <c r="A294" s="26" t="s">
        <v>1181</v>
      </c>
      <c r="B294" s="11" t="s">
        <v>1089</v>
      </c>
      <c r="C294" s="2">
        <v>19201900061</v>
      </c>
      <c r="D294" s="2">
        <v>2.13</v>
      </c>
      <c r="E294" s="226" t="s">
        <v>420</v>
      </c>
    </row>
    <row r="295" spans="1:5" x14ac:dyDescent="0.25">
      <c r="A295" s="26" t="s">
        <v>1181</v>
      </c>
      <c r="B295" s="11" t="s">
        <v>1090</v>
      </c>
      <c r="C295" s="2">
        <v>19201900028</v>
      </c>
      <c r="D295" s="2">
        <v>3.32</v>
      </c>
      <c r="E295" s="225" t="s">
        <v>419</v>
      </c>
    </row>
    <row r="296" spans="1:5" x14ac:dyDescent="0.25">
      <c r="A296" s="26" t="s">
        <v>1181</v>
      </c>
      <c r="B296" s="11" t="s">
        <v>1090</v>
      </c>
      <c r="C296" s="2">
        <v>19201900034</v>
      </c>
      <c r="D296" s="2">
        <v>3.17</v>
      </c>
      <c r="E296" s="225" t="s">
        <v>419</v>
      </c>
    </row>
    <row r="297" spans="1:5" x14ac:dyDescent="0.25">
      <c r="A297" s="26" t="s">
        <v>1181</v>
      </c>
      <c r="B297" s="11" t="s">
        <v>1090</v>
      </c>
      <c r="C297" s="2">
        <v>19201900054</v>
      </c>
      <c r="D297" s="2">
        <v>3.03</v>
      </c>
      <c r="E297" s="225" t="s">
        <v>419</v>
      </c>
    </row>
    <row r="298" spans="1:5" x14ac:dyDescent="0.25">
      <c r="A298" s="26" t="s">
        <v>1181</v>
      </c>
      <c r="B298" s="11" t="s">
        <v>1090</v>
      </c>
      <c r="C298" s="2">
        <v>19201900037</v>
      </c>
      <c r="D298" s="2">
        <v>2.59</v>
      </c>
      <c r="E298" s="225" t="s">
        <v>419</v>
      </c>
    </row>
    <row r="299" spans="1:5" x14ac:dyDescent="0.25">
      <c r="A299" s="26" t="s">
        <v>1181</v>
      </c>
      <c r="B299" s="11" t="s">
        <v>1090</v>
      </c>
      <c r="C299" s="2">
        <v>19201900080</v>
      </c>
      <c r="D299" s="2">
        <v>2.5099999999999998</v>
      </c>
      <c r="E299" s="225" t="s">
        <v>419</v>
      </c>
    </row>
    <row r="300" spans="1:5" x14ac:dyDescent="0.25">
      <c r="A300" s="26" t="s">
        <v>1181</v>
      </c>
      <c r="B300" s="11" t="s">
        <v>1090</v>
      </c>
      <c r="C300" s="2">
        <v>19201900030</v>
      </c>
      <c r="D300" s="2">
        <v>2.41</v>
      </c>
      <c r="E300" s="226" t="s">
        <v>420</v>
      </c>
    </row>
    <row r="301" spans="1:5" x14ac:dyDescent="0.25">
      <c r="A301" s="26" t="s">
        <v>1181</v>
      </c>
      <c r="B301" s="11" t="s">
        <v>1090</v>
      </c>
      <c r="C301" s="2">
        <v>19201900074</v>
      </c>
      <c r="D301" s="2">
        <v>2.36</v>
      </c>
      <c r="E301" s="226" t="s">
        <v>420</v>
      </c>
    </row>
    <row r="302" spans="1:5" x14ac:dyDescent="0.25">
      <c r="A302" s="26" t="s">
        <v>1181</v>
      </c>
      <c r="B302" s="11" t="s">
        <v>1090</v>
      </c>
      <c r="C302" s="2">
        <v>19201900044</v>
      </c>
      <c r="D302" s="2">
        <v>2.29</v>
      </c>
      <c r="E302" s="226" t="s">
        <v>420</v>
      </c>
    </row>
    <row r="303" spans="1:5" x14ac:dyDescent="0.25">
      <c r="A303" s="26" t="s">
        <v>1181</v>
      </c>
      <c r="B303" s="11" t="s">
        <v>1090</v>
      </c>
      <c r="C303" s="2">
        <v>19201900006</v>
      </c>
      <c r="D303" s="2">
        <v>2.21</v>
      </c>
      <c r="E303" s="226" t="s">
        <v>420</v>
      </c>
    </row>
    <row r="304" spans="1:5" x14ac:dyDescent="0.25">
      <c r="A304" s="26" t="s">
        <v>1181</v>
      </c>
      <c r="B304" s="11" t="s">
        <v>1090</v>
      </c>
      <c r="C304" s="2">
        <v>19201900042</v>
      </c>
      <c r="D304" s="2">
        <v>2.11</v>
      </c>
      <c r="E304" s="226" t="s">
        <v>420</v>
      </c>
    </row>
    <row r="305" spans="1:5" x14ac:dyDescent="0.25">
      <c r="A305" s="26" t="s">
        <v>1181</v>
      </c>
      <c r="B305" s="11" t="s">
        <v>1110</v>
      </c>
      <c r="C305" s="2">
        <v>19201900035</v>
      </c>
      <c r="D305" s="2">
        <v>3.31</v>
      </c>
      <c r="E305" s="225" t="s">
        <v>419</v>
      </c>
    </row>
    <row r="306" spans="1:5" x14ac:dyDescent="0.25">
      <c r="A306" s="26" t="s">
        <v>1181</v>
      </c>
      <c r="B306" s="11" t="s">
        <v>1110</v>
      </c>
      <c r="C306" s="2">
        <v>19201900083</v>
      </c>
      <c r="D306" s="2">
        <v>3.01</v>
      </c>
      <c r="E306" s="225" t="s">
        <v>419</v>
      </c>
    </row>
    <row r="307" spans="1:5" x14ac:dyDescent="0.25">
      <c r="A307" s="26" t="s">
        <v>1181</v>
      </c>
      <c r="B307" s="11" t="s">
        <v>1110</v>
      </c>
      <c r="C307" s="2">
        <v>19201900020</v>
      </c>
      <c r="D307" s="2">
        <v>2.4500000000000002</v>
      </c>
      <c r="E307" s="226" t="s">
        <v>420</v>
      </c>
    </row>
    <row r="308" spans="1:5" x14ac:dyDescent="0.25">
      <c r="A308" s="26" t="s">
        <v>1181</v>
      </c>
      <c r="B308" s="11" t="s">
        <v>1092</v>
      </c>
      <c r="C308" s="2">
        <v>19201900045</v>
      </c>
      <c r="D308" s="2">
        <v>3.24</v>
      </c>
      <c r="E308" s="225" t="s">
        <v>419</v>
      </c>
    </row>
    <row r="309" spans="1:5" x14ac:dyDescent="0.25">
      <c r="A309" s="26" t="s">
        <v>1181</v>
      </c>
      <c r="B309" s="11" t="s">
        <v>1092</v>
      </c>
      <c r="C309" s="2">
        <v>19201900041</v>
      </c>
      <c r="D309" s="2">
        <v>3.11</v>
      </c>
      <c r="E309" s="225" t="s">
        <v>419</v>
      </c>
    </row>
    <row r="310" spans="1:5" x14ac:dyDescent="0.25">
      <c r="A310" s="26" t="s">
        <v>1181</v>
      </c>
      <c r="B310" s="11" t="s">
        <v>1092</v>
      </c>
      <c r="C310" s="2">
        <v>19201900053</v>
      </c>
      <c r="D310" s="2">
        <v>3.03</v>
      </c>
      <c r="E310" s="225" t="s">
        <v>419</v>
      </c>
    </row>
    <row r="311" spans="1:5" x14ac:dyDescent="0.25">
      <c r="A311" s="26" t="s">
        <v>1181</v>
      </c>
      <c r="B311" s="11" t="s">
        <v>1092</v>
      </c>
      <c r="C311" s="2">
        <v>19201900059</v>
      </c>
      <c r="D311" s="2">
        <v>3.01</v>
      </c>
      <c r="E311" s="225" t="s">
        <v>419</v>
      </c>
    </row>
    <row r="312" spans="1:5" x14ac:dyDescent="0.25">
      <c r="A312" s="26" t="s">
        <v>1181</v>
      </c>
      <c r="B312" s="11" t="s">
        <v>1092</v>
      </c>
      <c r="C312" s="2">
        <v>19201900032</v>
      </c>
      <c r="D312" s="2">
        <v>2.46</v>
      </c>
      <c r="E312" s="226" t="s">
        <v>420</v>
      </c>
    </row>
    <row r="313" spans="1:5" x14ac:dyDescent="0.25">
      <c r="A313" s="26" t="s">
        <v>1181</v>
      </c>
      <c r="B313" s="11" t="s">
        <v>1092</v>
      </c>
      <c r="C313" s="2">
        <v>19201900025</v>
      </c>
      <c r="D313" s="2">
        <v>2.39</v>
      </c>
      <c r="E313" s="226" t="s">
        <v>420</v>
      </c>
    </row>
    <row r="314" spans="1:5" x14ac:dyDescent="0.25">
      <c r="A314" s="26" t="s">
        <v>1181</v>
      </c>
      <c r="B314" s="648" t="s">
        <v>1093</v>
      </c>
      <c r="C314" s="2">
        <v>19201900062</v>
      </c>
      <c r="D314" s="2">
        <v>2.75</v>
      </c>
      <c r="E314" s="225" t="s">
        <v>419</v>
      </c>
    </row>
    <row r="315" spans="1:5" x14ac:dyDescent="0.25">
      <c r="A315" s="26" t="s">
        <v>1181</v>
      </c>
      <c r="B315" s="648" t="s">
        <v>1093</v>
      </c>
      <c r="C315" s="2">
        <v>19201900055</v>
      </c>
      <c r="D315" s="2">
        <v>2.65</v>
      </c>
      <c r="E315" s="225" t="s">
        <v>419</v>
      </c>
    </row>
    <row r="316" spans="1:5" x14ac:dyDescent="0.25">
      <c r="A316" s="26" t="s">
        <v>1181</v>
      </c>
      <c r="B316" s="11" t="s">
        <v>1097</v>
      </c>
      <c r="C316" s="2">
        <v>19201900068</v>
      </c>
      <c r="D316" s="2">
        <v>3.32</v>
      </c>
      <c r="E316" s="225" t="s">
        <v>419</v>
      </c>
    </row>
    <row r="317" spans="1:5" x14ac:dyDescent="0.25">
      <c r="A317" s="26" t="s">
        <v>1181</v>
      </c>
      <c r="B317" s="11" t="s">
        <v>1097</v>
      </c>
      <c r="C317" s="2">
        <v>19201900024</v>
      </c>
      <c r="D317" s="2">
        <v>3.27</v>
      </c>
      <c r="E317" s="225" t="s">
        <v>419</v>
      </c>
    </row>
    <row r="318" spans="1:5" x14ac:dyDescent="0.25">
      <c r="A318" s="26" t="s">
        <v>1181</v>
      </c>
      <c r="B318" s="11" t="s">
        <v>1097</v>
      </c>
      <c r="C318" s="2">
        <v>19201900008</v>
      </c>
      <c r="D318" s="2">
        <v>3.26</v>
      </c>
      <c r="E318" s="225" t="s">
        <v>419</v>
      </c>
    </row>
    <row r="319" spans="1:5" x14ac:dyDescent="0.25">
      <c r="A319" s="26" t="s">
        <v>1181</v>
      </c>
      <c r="B319" s="11" t="s">
        <v>1097</v>
      </c>
      <c r="C319" s="2">
        <v>19201900070</v>
      </c>
      <c r="D319" s="2">
        <v>3.06</v>
      </c>
      <c r="E319" s="225" t="s">
        <v>419</v>
      </c>
    </row>
    <row r="320" spans="1:5" x14ac:dyDescent="0.25">
      <c r="A320" s="26" t="s">
        <v>1181</v>
      </c>
      <c r="B320" s="11" t="s">
        <v>1097</v>
      </c>
      <c r="C320" s="2">
        <v>19201900012</v>
      </c>
      <c r="D320" s="2">
        <v>2.85</v>
      </c>
      <c r="E320" s="225" t="s">
        <v>419</v>
      </c>
    </row>
    <row r="321" spans="1:5" x14ac:dyDescent="0.25">
      <c r="A321" s="26" t="s">
        <v>1181</v>
      </c>
      <c r="B321" s="11" t="s">
        <v>1097</v>
      </c>
      <c r="C321" s="2">
        <v>19201900071</v>
      </c>
      <c r="D321" s="2">
        <v>2.71</v>
      </c>
      <c r="E321" s="226" t="s">
        <v>420</v>
      </c>
    </row>
    <row r="322" spans="1:5" x14ac:dyDescent="0.25">
      <c r="A322" s="26" t="s">
        <v>1181</v>
      </c>
      <c r="B322" s="11" t="s">
        <v>1097</v>
      </c>
      <c r="C322" s="2">
        <v>19201900052</v>
      </c>
      <c r="D322" s="2">
        <v>2.63</v>
      </c>
      <c r="E322" s="226" t="s">
        <v>420</v>
      </c>
    </row>
    <row r="323" spans="1:5" x14ac:dyDescent="0.25">
      <c r="A323" s="26" t="s">
        <v>1181</v>
      </c>
      <c r="B323" s="11" t="s">
        <v>1097</v>
      </c>
      <c r="C323" s="2">
        <v>19201900077</v>
      </c>
      <c r="D323" s="2">
        <v>2.63</v>
      </c>
      <c r="E323" s="226" t="s">
        <v>420</v>
      </c>
    </row>
    <row r="324" spans="1:5" x14ac:dyDescent="0.25">
      <c r="A324" s="26" t="s">
        <v>1181</v>
      </c>
      <c r="B324" s="309" t="s">
        <v>1183</v>
      </c>
      <c r="C324" s="2">
        <v>19201900046</v>
      </c>
      <c r="D324" s="2">
        <v>3.13</v>
      </c>
      <c r="E324" s="225" t="s">
        <v>419</v>
      </c>
    </row>
    <row r="325" spans="1:5" x14ac:dyDescent="0.25">
      <c r="A325" s="26" t="s">
        <v>1181</v>
      </c>
      <c r="B325" s="309" t="s">
        <v>1183</v>
      </c>
      <c r="C325" s="2">
        <v>19201900060</v>
      </c>
      <c r="D325" s="2">
        <v>3.12</v>
      </c>
      <c r="E325" s="225" t="s">
        <v>419</v>
      </c>
    </row>
    <row r="326" spans="1:5" x14ac:dyDescent="0.25">
      <c r="A326" s="26" t="s">
        <v>1181</v>
      </c>
      <c r="B326" s="309" t="s">
        <v>1183</v>
      </c>
      <c r="C326" s="2">
        <v>19201900031</v>
      </c>
      <c r="D326" s="2">
        <v>2.92</v>
      </c>
      <c r="E326" s="225" t="s">
        <v>419</v>
      </c>
    </row>
    <row r="327" spans="1:5" x14ac:dyDescent="0.25">
      <c r="A327" s="26" t="s">
        <v>1181</v>
      </c>
      <c r="B327" s="309" t="s">
        <v>1183</v>
      </c>
      <c r="C327" s="2">
        <v>19201900043</v>
      </c>
      <c r="D327" s="2">
        <v>2.91</v>
      </c>
      <c r="E327" s="225" t="s">
        <v>419</v>
      </c>
    </row>
    <row r="328" spans="1:5" x14ac:dyDescent="0.25">
      <c r="A328" s="26" t="s">
        <v>1181</v>
      </c>
      <c r="B328" s="309" t="s">
        <v>1183</v>
      </c>
      <c r="C328" s="2">
        <v>19201900051</v>
      </c>
      <c r="D328" s="2">
        <v>2.88</v>
      </c>
      <c r="E328" s="225" t="s">
        <v>419</v>
      </c>
    </row>
    <row r="329" spans="1:5" x14ac:dyDescent="0.25">
      <c r="A329" s="26" t="s">
        <v>1181</v>
      </c>
      <c r="B329" s="309" t="s">
        <v>1183</v>
      </c>
      <c r="C329" s="2">
        <v>19201900058</v>
      </c>
      <c r="D329" s="2">
        <v>2.87</v>
      </c>
      <c r="E329" s="225" t="s">
        <v>419</v>
      </c>
    </row>
    <row r="330" spans="1:5" x14ac:dyDescent="0.25">
      <c r="A330" s="26" t="s">
        <v>1181</v>
      </c>
      <c r="B330" s="309" t="s">
        <v>1183</v>
      </c>
      <c r="C330" s="2">
        <v>19201900082</v>
      </c>
      <c r="D330" s="2">
        <v>2.08</v>
      </c>
      <c r="E330" s="226" t="s">
        <v>420</v>
      </c>
    </row>
    <row r="331" spans="1:5" x14ac:dyDescent="0.25">
      <c r="A331" s="26" t="s">
        <v>1181</v>
      </c>
      <c r="B331" s="309" t="s">
        <v>1183</v>
      </c>
      <c r="C331" s="2">
        <v>19201900027</v>
      </c>
      <c r="D331" s="2">
        <v>2.0699999999999998</v>
      </c>
      <c r="E331" s="226" t="s">
        <v>420</v>
      </c>
    </row>
    <row r="332" spans="1:5" x14ac:dyDescent="0.25">
      <c r="A332" s="26" t="s">
        <v>1181</v>
      </c>
      <c r="B332" s="309" t="s">
        <v>1183</v>
      </c>
      <c r="C332" s="2">
        <v>19201900019</v>
      </c>
      <c r="D332" s="2">
        <v>2.04</v>
      </c>
      <c r="E332" s="226" t="s">
        <v>420</v>
      </c>
    </row>
    <row r="333" spans="1:5" x14ac:dyDescent="0.25">
      <c r="A333" s="26" t="s">
        <v>1181</v>
      </c>
      <c r="B333" s="309" t="s">
        <v>1183</v>
      </c>
      <c r="C333" s="2">
        <v>19201900065</v>
      </c>
      <c r="D333" s="2">
        <v>1.48</v>
      </c>
      <c r="E333" s="226" t="s">
        <v>420</v>
      </c>
    </row>
    <row r="334" spans="1:5" x14ac:dyDescent="0.25">
      <c r="A334" s="26" t="s">
        <v>1181</v>
      </c>
      <c r="B334" s="11" t="s">
        <v>1095</v>
      </c>
      <c r="C334" s="2">
        <v>19201900069</v>
      </c>
      <c r="D334" s="2">
        <v>3.18</v>
      </c>
      <c r="E334" s="225" t="s">
        <v>419</v>
      </c>
    </row>
    <row r="335" spans="1:5" x14ac:dyDescent="0.25">
      <c r="A335" s="26" t="s">
        <v>1181</v>
      </c>
      <c r="B335" s="11" t="s">
        <v>1095</v>
      </c>
      <c r="C335" s="2">
        <v>19201900038</v>
      </c>
      <c r="D335" s="2">
        <v>3.03</v>
      </c>
      <c r="E335" s="225" t="s">
        <v>419</v>
      </c>
    </row>
    <row r="336" spans="1:5" x14ac:dyDescent="0.25">
      <c r="A336" s="26" t="s">
        <v>1181</v>
      </c>
      <c r="B336" s="11" t="s">
        <v>1095</v>
      </c>
      <c r="C336" s="2">
        <v>19201900022</v>
      </c>
      <c r="D336" s="2">
        <v>2.86</v>
      </c>
      <c r="E336" s="225" t="s">
        <v>419</v>
      </c>
    </row>
    <row r="337" spans="1:5" x14ac:dyDescent="0.25">
      <c r="A337" s="26" t="s">
        <v>1181</v>
      </c>
      <c r="B337" s="11" t="s">
        <v>1095</v>
      </c>
      <c r="C337" s="2">
        <v>19201900050</v>
      </c>
      <c r="D337" s="2">
        <v>2.85</v>
      </c>
      <c r="E337" s="225" t="s">
        <v>419</v>
      </c>
    </row>
    <row r="338" spans="1:5" x14ac:dyDescent="0.25">
      <c r="A338" s="26" t="s">
        <v>1181</v>
      </c>
      <c r="B338" s="11" t="s">
        <v>1095</v>
      </c>
      <c r="C338" s="2">
        <v>19201900081</v>
      </c>
      <c r="D338" s="2">
        <v>2.56</v>
      </c>
      <c r="E338" s="226" t="s">
        <v>420</v>
      </c>
    </row>
    <row r="339" spans="1:5" x14ac:dyDescent="0.25">
      <c r="A339" s="26" t="s">
        <v>1217</v>
      </c>
      <c r="B339" s="11" t="s">
        <v>1180</v>
      </c>
      <c r="C339" s="2">
        <v>19201901026</v>
      </c>
      <c r="D339" s="2">
        <v>3.33</v>
      </c>
      <c r="E339" s="225" t="s">
        <v>419</v>
      </c>
    </row>
    <row r="340" spans="1:5" x14ac:dyDescent="0.25">
      <c r="A340" s="26" t="s">
        <v>1217</v>
      </c>
      <c r="B340" s="11" t="s">
        <v>1180</v>
      </c>
      <c r="C340" s="2">
        <v>19201901020</v>
      </c>
      <c r="D340" s="2">
        <v>2.96</v>
      </c>
      <c r="E340" s="225" t="s">
        <v>419</v>
      </c>
    </row>
    <row r="341" spans="1:5" x14ac:dyDescent="0.25">
      <c r="A341" s="26" t="s">
        <v>1217</v>
      </c>
      <c r="B341" s="11" t="s">
        <v>1180</v>
      </c>
      <c r="C341" s="2">
        <v>19201901024</v>
      </c>
      <c r="D341" s="2">
        <v>2.0099999999999998</v>
      </c>
      <c r="E341" s="226" t="s">
        <v>420</v>
      </c>
    </row>
    <row r="342" spans="1:5" x14ac:dyDescent="0.25">
      <c r="A342" s="26" t="s">
        <v>1217</v>
      </c>
      <c r="B342" s="11" t="s">
        <v>1180</v>
      </c>
      <c r="C342" s="2">
        <v>19201901019</v>
      </c>
      <c r="D342" s="2">
        <v>1.8</v>
      </c>
      <c r="E342" s="226" t="s">
        <v>420</v>
      </c>
    </row>
    <row r="343" spans="1:5" x14ac:dyDescent="0.25">
      <c r="A343" s="26" t="s">
        <v>1217</v>
      </c>
      <c r="B343" s="11" t="s">
        <v>1218</v>
      </c>
      <c r="C343" s="17">
        <v>19201901023</v>
      </c>
      <c r="D343" s="2">
        <v>3.4</v>
      </c>
      <c r="E343" s="225" t="s">
        <v>419</v>
      </c>
    </row>
    <row r="344" spans="1:5" x14ac:dyDescent="0.25">
      <c r="A344" s="26" t="s">
        <v>1217</v>
      </c>
      <c r="B344" s="11" t="s">
        <v>1218</v>
      </c>
      <c r="C344" s="17">
        <v>19201901031</v>
      </c>
      <c r="D344" s="2">
        <v>3.31</v>
      </c>
      <c r="E344" s="225" t="s">
        <v>419</v>
      </c>
    </row>
    <row r="345" spans="1:5" x14ac:dyDescent="0.25">
      <c r="A345" s="26" t="s">
        <v>1217</v>
      </c>
      <c r="B345" s="11" t="s">
        <v>1218</v>
      </c>
      <c r="C345" s="17">
        <v>19201901035</v>
      </c>
      <c r="D345" s="2">
        <v>3.3</v>
      </c>
      <c r="E345" s="225" t="s">
        <v>419</v>
      </c>
    </row>
    <row r="346" spans="1:5" x14ac:dyDescent="0.25">
      <c r="A346" s="26" t="s">
        <v>1217</v>
      </c>
      <c r="B346" s="11" t="s">
        <v>1218</v>
      </c>
      <c r="C346" s="17">
        <v>19201901028</v>
      </c>
      <c r="D346" s="2">
        <v>3.02</v>
      </c>
      <c r="E346" s="225" t="s">
        <v>419</v>
      </c>
    </row>
    <row r="347" spans="1:5" x14ac:dyDescent="0.25">
      <c r="A347" s="26" t="s">
        <v>1217</v>
      </c>
      <c r="B347" s="11" t="s">
        <v>1218</v>
      </c>
      <c r="C347" s="17">
        <v>19201901025</v>
      </c>
      <c r="D347" s="2">
        <v>2.99</v>
      </c>
      <c r="E347" s="225" t="s">
        <v>419</v>
      </c>
    </row>
    <row r="348" spans="1:5" x14ac:dyDescent="0.25">
      <c r="A348" s="26" t="s">
        <v>1217</v>
      </c>
      <c r="B348" s="11" t="s">
        <v>1218</v>
      </c>
      <c r="C348" s="17">
        <v>19201901017</v>
      </c>
      <c r="D348" s="2">
        <v>2.95</v>
      </c>
      <c r="E348" s="225" t="s">
        <v>419</v>
      </c>
    </row>
    <row r="349" spans="1:5" x14ac:dyDescent="0.25">
      <c r="A349" s="26" t="s">
        <v>1217</v>
      </c>
      <c r="B349" s="11" t="s">
        <v>1218</v>
      </c>
      <c r="C349" s="17">
        <v>19201901021</v>
      </c>
      <c r="D349" s="2">
        <v>2.86</v>
      </c>
      <c r="E349" s="225" t="s">
        <v>419</v>
      </c>
    </row>
    <row r="350" spans="1:5" x14ac:dyDescent="0.25">
      <c r="A350" s="26" t="s">
        <v>1217</v>
      </c>
      <c r="B350" s="11" t="s">
        <v>1218</v>
      </c>
      <c r="C350" s="17">
        <v>19201901016</v>
      </c>
      <c r="D350" s="2">
        <v>2.81</v>
      </c>
      <c r="E350" s="226" t="s">
        <v>420</v>
      </c>
    </row>
    <row r="351" spans="1:5" x14ac:dyDescent="0.25">
      <c r="A351" s="26" t="s">
        <v>1217</v>
      </c>
      <c r="B351" s="11" t="s">
        <v>1218</v>
      </c>
      <c r="C351" s="17">
        <v>19201901015</v>
      </c>
      <c r="D351" s="2">
        <v>2.78</v>
      </c>
      <c r="E351" s="226" t="s">
        <v>420</v>
      </c>
    </row>
    <row r="352" spans="1:5" x14ac:dyDescent="0.25">
      <c r="A352" s="26" t="s">
        <v>1217</v>
      </c>
      <c r="B352" s="11" t="s">
        <v>1218</v>
      </c>
      <c r="C352" s="17">
        <v>19201901027</v>
      </c>
      <c r="D352" s="2">
        <v>2.77</v>
      </c>
      <c r="E352" s="226" t="s">
        <v>420</v>
      </c>
    </row>
    <row r="353" spans="1:7" x14ac:dyDescent="0.25">
      <c r="A353" s="26" t="s">
        <v>1217</v>
      </c>
      <c r="B353" s="11" t="s">
        <v>1218</v>
      </c>
      <c r="C353" s="17">
        <v>19201901030</v>
      </c>
      <c r="D353" s="2">
        <v>2.65</v>
      </c>
      <c r="E353" s="226" t="s">
        <v>420</v>
      </c>
    </row>
    <row r="354" spans="1:7" x14ac:dyDescent="0.25">
      <c r="A354" s="26" t="s">
        <v>1217</v>
      </c>
      <c r="B354" s="11" t="s">
        <v>1218</v>
      </c>
      <c r="C354" s="17">
        <v>19201901033</v>
      </c>
      <c r="D354" s="2">
        <v>1.59</v>
      </c>
      <c r="E354" s="226" t="s">
        <v>420</v>
      </c>
    </row>
    <row r="355" spans="1:7" x14ac:dyDescent="0.25">
      <c r="A355" s="2" t="s">
        <v>1234</v>
      </c>
      <c r="B355" s="11" t="s">
        <v>1087</v>
      </c>
      <c r="C355" s="2">
        <v>19202000115</v>
      </c>
      <c r="D355" s="2">
        <v>3.33</v>
      </c>
      <c r="E355" s="225" t="s">
        <v>419</v>
      </c>
      <c r="F355" s="647"/>
      <c r="G355" s="647"/>
    </row>
    <row r="356" spans="1:7" x14ac:dyDescent="0.25">
      <c r="A356" s="2" t="s">
        <v>1234</v>
      </c>
      <c r="B356" s="11" t="s">
        <v>1087</v>
      </c>
      <c r="C356" s="2">
        <v>19202000213</v>
      </c>
      <c r="D356" s="2">
        <v>2.81</v>
      </c>
      <c r="E356" s="225" t="s">
        <v>419</v>
      </c>
      <c r="F356" s="647"/>
      <c r="G356" s="647"/>
    </row>
    <row r="357" spans="1:7" x14ac:dyDescent="0.25">
      <c r="A357" s="2" t="s">
        <v>1234</v>
      </c>
      <c r="B357" s="11" t="s">
        <v>1087</v>
      </c>
      <c r="C357" s="2">
        <v>19202000225</v>
      </c>
      <c r="D357" s="2">
        <v>2.77</v>
      </c>
      <c r="E357" s="225" t="s">
        <v>419</v>
      </c>
      <c r="F357" s="647"/>
      <c r="G357" s="647"/>
    </row>
    <row r="358" spans="1:7" x14ac:dyDescent="0.25">
      <c r="A358" s="2" t="s">
        <v>1234</v>
      </c>
      <c r="B358" s="11" t="s">
        <v>1087</v>
      </c>
      <c r="C358" s="2">
        <v>19202000223</v>
      </c>
      <c r="D358" s="2">
        <v>2.75</v>
      </c>
      <c r="E358" s="225" t="s">
        <v>419</v>
      </c>
      <c r="F358" s="647"/>
      <c r="G358" s="647"/>
    </row>
    <row r="359" spans="1:7" x14ac:dyDescent="0.25">
      <c r="A359" s="2" t="s">
        <v>1234</v>
      </c>
      <c r="B359" s="11" t="s">
        <v>1087</v>
      </c>
      <c r="C359" s="2">
        <v>19202000124</v>
      </c>
      <c r="D359" s="2">
        <v>2.59</v>
      </c>
      <c r="E359" s="225" t="s">
        <v>419</v>
      </c>
      <c r="F359" s="647"/>
      <c r="G359" s="647"/>
    </row>
    <row r="360" spans="1:7" x14ac:dyDescent="0.25">
      <c r="A360" s="2" t="s">
        <v>1234</v>
      </c>
      <c r="B360" s="11" t="s">
        <v>1087</v>
      </c>
      <c r="C360" s="2">
        <v>19202000116</v>
      </c>
      <c r="D360" s="2">
        <v>2.57</v>
      </c>
      <c r="E360" s="225" t="s">
        <v>419</v>
      </c>
      <c r="F360" s="647"/>
      <c r="G360" s="647"/>
    </row>
    <row r="361" spans="1:7" x14ac:dyDescent="0.25">
      <c r="A361" s="2" t="s">
        <v>1234</v>
      </c>
      <c r="B361" s="11" t="s">
        <v>1087</v>
      </c>
      <c r="C361" s="2">
        <v>19202000214</v>
      </c>
      <c r="D361" s="2">
        <v>2.4700000000000002</v>
      </c>
      <c r="E361" s="226" t="s">
        <v>420</v>
      </c>
      <c r="F361" s="647"/>
      <c r="G361" s="647"/>
    </row>
    <row r="362" spans="1:7" x14ac:dyDescent="0.25">
      <c r="A362" s="2" t="s">
        <v>1234</v>
      </c>
      <c r="B362" s="11" t="s">
        <v>1087</v>
      </c>
      <c r="C362" s="2">
        <v>19202000230</v>
      </c>
      <c r="D362" s="2">
        <v>2.4700000000000002</v>
      </c>
      <c r="E362" s="226" t="s">
        <v>420</v>
      </c>
      <c r="F362" s="647"/>
      <c r="G362" s="647"/>
    </row>
    <row r="363" spans="1:7" x14ac:dyDescent="0.25">
      <c r="A363" s="2" t="s">
        <v>1234</v>
      </c>
      <c r="B363" s="11" t="s">
        <v>1087</v>
      </c>
      <c r="C363" s="2">
        <v>19202000141</v>
      </c>
      <c r="D363" s="2">
        <v>2.46</v>
      </c>
      <c r="E363" s="226" t="s">
        <v>420</v>
      </c>
      <c r="F363" s="647"/>
      <c r="G363" s="647"/>
    </row>
    <row r="364" spans="1:7" x14ac:dyDescent="0.25">
      <c r="A364" s="2" t="s">
        <v>1234</v>
      </c>
      <c r="B364" s="11" t="s">
        <v>1087</v>
      </c>
      <c r="C364" s="2">
        <v>19202000120</v>
      </c>
      <c r="D364" s="2">
        <v>2.4500000000000002</v>
      </c>
      <c r="E364" s="226" t="s">
        <v>420</v>
      </c>
      <c r="F364" s="647"/>
      <c r="G364" s="647"/>
    </row>
    <row r="365" spans="1:7" x14ac:dyDescent="0.25">
      <c r="A365" s="2" t="s">
        <v>1234</v>
      </c>
      <c r="B365" s="11" t="s">
        <v>1087</v>
      </c>
      <c r="C365" s="2">
        <v>19202000113</v>
      </c>
      <c r="D365" s="2">
        <v>1.99</v>
      </c>
      <c r="E365" s="226" t="s">
        <v>420</v>
      </c>
      <c r="F365" s="647"/>
      <c r="G365" s="647"/>
    </row>
    <row r="366" spans="1:7" x14ac:dyDescent="0.25">
      <c r="A366" s="2" t="s">
        <v>1234</v>
      </c>
      <c r="B366" s="602" t="s">
        <v>1089</v>
      </c>
      <c r="C366" s="2">
        <v>19202000210</v>
      </c>
      <c r="D366" s="2">
        <v>2.97</v>
      </c>
      <c r="E366" s="225" t="s">
        <v>419</v>
      </c>
      <c r="F366" s="647"/>
      <c r="G366" s="647"/>
    </row>
    <row r="367" spans="1:7" x14ac:dyDescent="0.25">
      <c r="A367" s="2" t="s">
        <v>1234</v>
      </c>
      <c r="B367" s="602" t="s">
        <v>1089</v>
      </c>
      <c r="C367" s="2">
        <v>19202000146</v>
      </c>
      <c r="D367" s="2">
        <v>2.86</v>
      </c>
      <c r="E367" s="225" t="s">
        <v>419</v>
      </c>
      <c r="F367" s="647"/>
      <c r="G367" s="647"/>
    </row>
    <row r="368" spans="1:7" x14ac:dyDescent="0.25">
      <c r="A368" s="2" t="s">
        <v>1234</v>
      </c>
      <c r="B368" s="602" t="s">
        <v>1089</v>
      </c>
      <c r="C368" s="2">
        <v>19202000228</v>
      </c>
      <c r="D368" s="2">
        <v>2.85</v>
      </c>
      <c r="E368" s="225" t="s">
        <v>419</v>
      </c>
      <c r="F368" s="647"/>
      <c r="G368" s="647"/>
    </row>
    <row r="369" spans="1:7" x14ac:dyDescent="0.25">
      <c r="A369" s="2" t="s">
        <v>1234</v>
      </c>
      <c r="B369" s="602" t="s">
        <v>1089</v>
      </c>
      <c r="C369" s="2">
        <v>19202000206</v>
      </c>
      <c r="D369" s="2">
        <v>2.83</v>
      </c>
      <c r="E369" s="225" t="s">
        <v>419</v>
      </c>
      <c r="F369" s="647"/>
      <c r="G369" s="647"/>
    </row>
    <row r="370" spans="1:7" x14ac:dyDescent="0.25">
      <c r="A370" s="2" t="s">
        <v>1234</v>
      </c>
      <c r="B370" s="602" t="s">
        <v>1089</v>
      </c>
      <c r="C370" s="2">
        <v>19202000226</v>
      </c>
      <c r="D370" s="2">
        <v>2.82</v>
      </c>
      <c r="E370" s="225" t="s">
        <v>419</v>
      </c>
      <c r="F370" s="647"/>
      <c r="G370" s="647"/>
    </row>
    <row r="371" spans="1:7" x14ac:dyDescent="0.25">
      <c r="A371" s="2" t="s">
        <v>1234</v>
      </c>
      <c r="B371" s="602" t="s">
        <v>1089</v>
      </c>
      <c r="C371" s="2">
        <v>19202000277</v>
      </c>
      <c r="D371" s="2">
        <v>2.64</v>
      </c>
      <c r="E371" s="225" t="s">
        <v>419</v>
      </c>
      <c r="F371" s="647"/>
      <c r="G371" s="647"/>
    </row>
    <row r="372" spans="1:7" x14ac:dyDescent="0.25">
      <c r="A372" s="2" t="s">
        <v>1234</v>
      </c>
      <c r="B372" s="602" t="s">
        <v>1089</v>
      </c>
      <c r="C372" s="2">
        <v>19202000227</v>
      </c>
      <c r="D372" s="2">
        <v>2.61</v>
      </c>
      <c r="E372" s="226" t="s">
        <v>420</v>
      </c>
      <c r="F372" s="647"/>
      <c r="G372" s="647"/>
    </row>
    <row r="373" spans="1:7" x14ac:dyDescent="0.25">
      <c r="A373" s="2" t="s">
        <v>1234</v>
      </c>
      <c r="B373" s="602" t="s">
        <v>1089</v>
      </c>
      <c r="C373" s="2">
        <v>19202000196</v>
      </c>
      <c r="D373" s="2">
        <v>2.59</v>
      </c>
      <c r="E373" s="226" t="s">
        <v>420</v>
      </c>
      <c r="F373" s="647"/>
      <c r="G373" s="647"/>
    </row>
    <row r="374" spans="1:7" x14ac:dyDescent="0.25">
      <c r="A374" s="2" t="s">
        <v>1234</v>
      </c>
      <c r="B374" s="602" t="s">
        <v>1089</v>
      </c>
      <c r="C374" s="2">
        <v>19202000208</v>
      </c>
      <c r="D374" s="2">
        <v>2.48</v>
      </c>
      <c r="E374" s="226" t="s">
        <v>420</v>
      </c>
      <c r="F374" s="647"/>
      <c r="G374" s="647"/>
    </row>
    <row r="375" spans="1:7" x14ac:dyDescent="0.25">
      <c r="A375" s="2" t="s">
        <v>1234</v>
      </c>
      <c r="B375" s="602" t="s">
        <v>1089</v>
      </c>
      <c r="C375" s="2">
        <v>19202000133</v>
      </c>
      <c r="D375" s="2">
        <v>2.44</v>
      </c>
      <c r="E375" s="226" t="s">
        <v>420</v>
      </c>
      <c r="F375" s="647"/>
      <c r="G375" s="647"/>
    </row>
    <row r="376" spans="1:7" x14ac:dyDescent="0.25">
      <c r="A376" s="2" t="s">
        <v>1234</v>
      </c>
      <c r="B376" s="602" t="s">
        <v>1089</v>
      </c>
      <c r="C376" s="2">
        <v>19202000224</v>
      </c>
      <c r="D376" s="2">
        <v>2.37</v>
      </c>
      <c r="E376" s="226" t="s">
        <v>420</v>
      </c>
      <c r="F376" s="647"/>
      <c r="G376" s="647"/>
    </row>
    <row r="377" spans="1:7" x14ac:dyDescent="0.25">
      <c r="A377" s="2" t="s">
        <v>1234</v>
      </c>
      <c r="B377" s="602" t="s">
        <v>1089</v>
      </c>
      <c r="C377" s="2">
        <v>19202000222</v>
      </c>
      <c r="D377" s="2">
        <v>2.31</v>
      </c>
      <c r="E377" s="226" t="s">
        <v>420</v>
      </c>
      <c r="F377" s="647"/>
      <c r="G377" s="647"/>
    </row>
    <row r="378" spans="1:7" x14ac:dyDescent="0.25">
      <c r="A378" s="2" t="s">
        <v>1234</v>
      </c>
      <c r="B378" s="602" t="s">
        <v>1089</v>
      </c>
      <c r="C378" s="2">
        <v>19202000221</v>
      </c>
      <c r="D378" s="2">
        <v>2.29</v>
      </c>
      <c r="E378" s="226" t="s">
        <v>420</v>
      </c>
      <c r="F378" s="647"/>
      <c r="G378" s="647"/>
    </row>
    <row r="379" spans="1:7" x14ac:dyDescent="0.25">
      <c r="A379" s="2" t="s">
        <v>1234</v>
      </c>
      <c r="B379" s="602" t="s">
        <v>1089</v>
      </c>
      <c r="C379" s="2">
        <v>19202000211</v>
      </c>
      <c r="D379" s="2">
        <v>2.2799999999999998</v>
      </c>
      <c r="E379" s="226" t="s">
        <v>420</v>
      </c>
      <c r="F379" s="647"/>
      <c r="G379" s="647"/>
    </row>
    <row r="380" spans="1:7" x14ac:dyDescent="0.25">
      <c r="A380" s="2" t="s">
        <v>1234</v>
      </c>
      <c r="B380" s="602" t="s">
        <v>1089</v>
      </c>
      <c r="C380" s="2">
        <v>19202000209</v>
      </c>
      <c r="D380" s="2">
        <v>2.27</v>
      </c>
      <c r="E380" s="226" t="s">
        <v>420</v>
      </c>
      <c r="F380" s="647"/>
      <c r="G380" s="647"/>
    </row>
    <row r="381" spans="1:7" x14ac:dyDescent="0.25">
      <c r="A381" s="2" t="s">
        <v>1234</v>
      </c>
      <c r="B381" s="602" t="s">
        <v>1089</v>
      </c>
      <c r="C381" s="2">
        <v>19202000119</v>
      </c>
      <c r="D381" s="2">
        <v>1.92</v>
      </c>
      <c r="E381" s="226" t="s">
        <v>420</v>
      </c>
      <c r="F381" s="647"/>
      <c r="G381" s="647"/>
    </row>
    <row r="382" spans="1:7" x14ac:dyDescent="0.25">
      <c r="A382" s="2" t="s">
        <v>1234</v>
      </c>
      <c r="B382" s="602" t="s">
        <v>1089</v>
      </c>
      <c r="C382" s="2">
        <v>19202000217</v>
      </c>
      <c r="D382" s="2">
        <v>1.29</v>
      </c>
      <c r="E382" s="226" t="s">
        <v>420</v>
      </c>
      <c r="F382" s="647"/>
      <c r="G382" s="647"/>
    </row>
    <row r="383" spans="1:7" x14ac:dyDescent="0.25">
      <c r="A383" s="2" t="s">
        <v>1234</v>
      </c>
      <c r="B383" s="602" t="s">
        <v>1090</v>
      </c>
      <c r="C383" s="2">
        <v>19202000233</v>
      </c>
      <c r="D383" s="2">
        <v>3.29</v>
      </c>
      <c r="E383" s="225" t="s">
        <v>419</v>
      </c>
      <c r="F383" s="647"/>
      <c r="G383" s="647"/>
    </row>
    <row r="384" spans="1:7" x14ac:dyDescent="0.25">
      <c r="A384" s="2" t="s">
        <v>1234</v>
      </c>
      <c r="B384" s="602" t="s">
        <v>1090</v>
      </c>
      <c r="C384" s="2">
        <v>19202000200</v>
      </c>
      <c r="D384" s="2">
        <v>3.28</v>
      </c>
      <c r="E384" s="225" t="s">
        <v>419</v>
      </c>
      <c r="F384" s="647"/>
      <c r="G384" s="647"/>
    </row>
    <row r="385" spans="1:7" x14ac:dyDescent="0.25">
      <c r="A385" s="2" t="s">
        <v>1234</v>
      </c>
      <c r="B385" s="602" t="s">
        <v>1090</v>
      </c>
      <c r="C385" s="2">
        <v>19202000216</v>
      </c>
      <c r="D385" s="2">
        <v>2.98</v>
      </c>
      <c r="E385" s="225" t="s">
        <v>419</v>
      </c>
      <c r="F385" s="647"/>
      <c r="G385" s="647"/>
    </row>
    <row r="386" spans="1:7" x14ac:dyDescent="0.25">
      <c r="A386" s="2" t="s">
        <v>1234</v>
      </c>
      <c r="B386" s="602" t="s">
        <v>1090</v>
      </c>
      <c r="C386" s="2">
        <v>19202000129</v>
      </c>
      <c r="D386" s="2">
        <v>2.92</v>
      </c>
      <c r="E386" s="225" t="s">
        <v>419</v>
      </c>
      <c r="F386" s="647"/>
      <c r="G386" s="647"/>
    </row>
    <row r="387" spans="1:7" x14ac:dyDescent="0.25">
      <c r="A387" s="2" t="s">
        <v>1234</v>
      </c>
      <c r="B387" s="602" t="s">
        <v>1090</v>
      </c>
      <c r="C387" s="2">
        <v>19202000219</v>
      </c>
      <c r="D387" s="2">
        <v>2.88</v>
      </c>
      <c r="E387" s="225" t="s">
        <v>419</v>
      </c>
      <c r="F387" s="647"/>
      <c r="G387" s="647"/>
    </row>
    <row r="388" spans="1:7" x14ac:dyDescent="0.25">
      <c r="A388" s="2" t="s">
        <v>1234</v>
      </c>
      <c r="B388" s="602" t="s">
        <v>1090</v>
      </c>
      <c r="C388" s="2">
        <v>19202000126</v>
      </c>
      <c r="D388" s="2">
        <v>2.87</v>
      </c>
      <c r="E388" s="225" t="s">
        <v>419</v>
      </c>
      <c r="F388" s="647"/>
      <c r="G388" s="647"/>
    </row>
    <row r="389" spans="1:7" x14ac:dyDescent="0.25">
      <c r="A389" s="2" t="s">
        <v>1234</v>
      </c>
      <c r="B389" s="602" t="s">
        <v>1090</v>
      </c>
      <c r="C389" s="2">
        <v>19202000131</v>
      </c>
      <c r="D389" s="2">
        <v>2.86</v>
      </c>
      <c r="E389" s="225" t="s">
        <v>419</v>
      </c>
      <c r="F389" s="647"/>
      <c r="G389" s="647"/>
    </row>
    <row r="390" spans="1:7" x14ac:dyDescent="0.25">
      <c r="A390" s="2" t="s">
        <v>1234</v>
      </c>
      <c r="B390" s="602" t="s">
        <v>1090</v>
      </c>
      <c r="C390" s="2">
        <v>19202000232</v>
      </c>
      <c r="D390" s="2">
        <v>2.81</v>
      </c>
      <c r="E390" s="225" t="s">
        <v>419</v>
      </c>
      <c r="F390" s="647"/>
      <c r="G390" s="647"/>
    </row>
    <row r="391" spans="1:7" x14ac:dyDescent="0.25">
      <c r="A391" s="2" t="s">
        <v>1234</v>
      </c>
      <c r="B391" s="602" t="s">
        <v>1090</v>
      </c>
      <c r="C391" s="2">
        <v>19202000122</v>
      </c>
      <c r="D391" s="2">
        <v>2.78</v>
      </c>
      <c r="E391" s="225" t="s">
        <v>419</v>
      </c>
      <c r="F391" s="647"/>
      <c r="G391" s="647"/>
    </row>
    <row r="392" spans="1:7" x14ac:dyDescent="0.25">
      <c r="A392" s="2" t="s">
        <v>1234</v>
      </c>
      <c r="B392" s="602" t="s">
        <v>1090</v>
      </c>
      <c r="C392" s="2">
        <v>19202000198</v>
      </c>
      <c r="D392" s="2">
        <v>2.7</v>
      </c>
      <c r="E392" s="225" t="s">
        <v>419</v>
      </c>
      <c r="F392" s="647"/>
      <c r="G392" s="647"/>
    </row>
    <row r="393" spans="1:7" x14ac:dyDescent="0.25">
      <c r="A393" s="2" t="s">
        <v>1234</v>
      </c>
      <c r="B393" s="602" t="s">
        <v>1090</v>
      </c>
      <c r="C393" s="2">
        <v>19202000229</v>
      </c>
      <c r="D393" s="2">
        <v>2.5099999999999998</v>
      </c>
      <c r="E393" s="226" t="s">
        <v>420</v>
      </c>
      <c r="F393" s="647"/>
      <c r="G393" s="647"/>
    </row>
    <row r="394" spans="1:7" x14ac:dyDescent="0.25">
      <c r="A394" s="2" t="s">
        <v>1234</v>
      </c>
      <c r="B394" s="602" t="s">
        <v>1090</v>
      </c>
      <c r="C394" s="2">
        <v>19202000235</v>
      </c>
      <c r="D394" s="2">
        <v>1.86</v>
      </c>
      <c r="E394" s="226" t="s">
        <v>420</v>
      </c>
      <c r="F394" s="647"/>
      <c r="G394" s="647"/>
    </row>
    <row r="395" spans="1:7" x14ac:dyDescent="0.25">
      <c r="A395" s="2" t="s">
        <v>1234</v>
      </c>
      <c r="B395" s="602" t="s">
        <v>1235</v>
      </c>
      <c r="C395" s="2">
        <v>19202000207</v>
      </c>
      <c r="D395" s="2">
        <v>2.76</v>
      </c>
      <c r="E395" s="225" t="s">
        <v>419</v>
      </c>
      <c r="F395" s="647"/>
      <c r="G395" s="647"/>
    </row>
    <row r="396" spans="1:7" x14ac:dyDescent="0.25">
      <c r="A396" s="2" t="s">
        <v>1234</v>
      </c>
      <c r="B396" s="602" t="s">
        <v>1235</v>
      </c>
      <c r="C396" s="2">
        <v>19202000234</v>
      </c>
      <c r="D396" s="2">
        <v>2.74</v>
      </c>
      <c r="E396" s="225" t="s">
        <v>419</v>
      </c>
      <c r="F396" s="647"/>
      <c r="G396" s="647"/>
    </row>
    <row r="397" spans="1:7" x14ac:dyDescent="0.25">
      <c r="A397" s="2" t="s">
        <v>1234</v>
      </c>
      <c r="B397" s="602" t="s">
        <v>1235</v>
      </c>
      <c r="C397" s="2">
        <v>19202000218</v>
      </c>
      <c r="D397" s="2">
        <v>2.5099999999999998</v>
      </c>
      <c r="E397" s="226" t="s">
        <v>420</v>
      </c>
      <c r="F397" s="647"/>
      <c r="G397" s="647"/>
    </row>
    <row r="398" spans="1:7" x14ac:dyDescent="0.25">
      <c r="A398" s="2" t="s">
        <v>1285</v>
      </c>
      <c r="B398" s="2" t="s">
        <v>1286</v>
      </c>
      <c r="C398" s="2">
        <v>19202100023</v>
      </c>
      <c r="D398" s="2">
        <v>3.25</v>
      </c>
      <c r="E398" s="225" t="s">
        <v>419</v>
      </c>
      <c r="F398" s="647"/>
      <c r="G398" s="647"/>
    </row>
    <row r="399" spans="1:7" x14ac:dyDescent="0.25">
      <c r="A399" s="2" t="s">
        <v>1285</v>
      </c>
      <c r="B399" s="2" t="s">
        <v>1286</v>
      </c>
      <c r="C399" s="2">
        <v>19202100054</v>
      </c>
      <c r="D399" s="2">
        <v>3.25</v>
      </c>
      <c r="E399" s="225" t="s">
        <v>419</v>
      </c>
      <c r="F399" s="647"/>
      <c r="G399" s="647"/>
    </row>
    <row r="400" spans="1:7" x14ac:dyDescent="0.25">
      <c r="A400" s="2" t="s">
        <v>1285</v>
      </c>
      <c r="B400" s="2" t="s">
        <v>1286</v>
      </c>
      <c r="C400" s="2">
        <v>19202100022</v>
      </c>
      <c r="D400" s="2">
        <v>3.08</v>
      </c>
      <c r="E400" s="225" t="s">
        <v>419</v>
      </c>
      <c r="F400" s="647"/>
      <c r="G400" s="647"/>
    </row>
    <row r="401" spans="1:7" x14ac:dyDescent="0.25">
      <c r="A401" s="2" t="s">
        <v>1285</v>
      </c>
      <c r="B401" s="2" t="s">
        <v>1286</v>
      </c>
      <c r="C401" s="2">
        <v>19202100026</v>
      </c>
      <c r="D401" s="2">
        <v>3.05</v>
      </c>
      <c r="E401" s="225" t="s">
        <v>419</v>
      </c>
      <c r="F401" s="647"/>
      <c r="G401" s="647"/>
    </row>
    <row r="402" spans="1:7" x14ac:dyDescent="0.25">
      <c r="A402" s="2" t="s">
        <v>1285</v>
      </c>
      <c r="B402" s="2" t="s">
        <v>1286</v>
      </c>
      <c r="C402" s="2">
        <v>19202100021</v>
      </c>
      <c r="D402" s="2">
        <v>2.97</v>
      </c>
      <c r="E402" s="225" t="s">
        <v>419</v>
      </c>
      <c r="F402" s="647"/>
      <c r="G402" s="647"/>
    </row>
    <row r="403" spans="1:7" x14ac:dyDescent="0.25">
      <c r="A403" s="2" t="s">
        <v>1285</v>
      </c>
      <c r="B403" s="2" t="s">
        <v>1286</v>
      </c>
      <c r="C403" s="2">
        <v>19202100063</v>
      </c>
      <c r="D403" s="2">
        <v>2.96</v>
      </c>
      <c r="E403" s="226" t="s">
        <v>420</v>
      </c>
      <c r="F403" s="647"/>
      <c r="G403" s="647"/>
    </row>
    <row r="404" spans="1:7" x14ac:dyDescent="0.25">
      <c r="A404" s="2" t="s">
        <v>1285</v>
      </c>
      <c r="B404" s="2" t="s">
        <v>1286</v>
      </c>
      <c r="C404" s="2">
        <v>19202100041</v>
      </c>
      <c r="D404" s="2">
        <v>2.8</v>
      </c>
      <c r="E404" s="226" t="s">
        <v>420</v>
      </c>
      <c r="F404" s="647"/>
      <c r="G404" s="647"/>
    </row>
    <row r="405" spans="1:7" x14ac:dyDescent="0.25">
      <c r="A405" s="2" t="s">
        <v>1285</v>
      </c>
      <c r="B405" s="2" t="s">
        <v>1286</v>
      </c>
      <c r="C405" s="2">
        <v>19202100025</v>
      </c>
      <c r="D405" s="2">
        <v>2.76</v>
      </c>
      <c r="E405" s="226" t="s">
        <v>420</v>
      </c>
      <c r="F405" s="647"/>
      <c r="G405" s="647"/>
    </row>
    <row r="406" spans="1:7" x14ac:dyDescent="0.25">
      <c r="A406" s="2" t="s">
        <v>1285</v>
      </c>
      <c r="B406" s="2" t="s">
        <v>1286</v>
      </c>
      <c r="C406" s="2">
        <v>19202100024</v>
      </c>
      <c r="D406" s="2">
        <v>2.74</v>
      </c>
      <c r="E406" s="226" t="s">
        <v>420</v>
      </c>
      <c r="F406" s="647"/>
      <c r="G406" s="647"/>
    </row>
    <row r="407" spans="1:7" x14ac:dyDescent="0.25">
      <c r="A407" s="2" t="s">
        <v>1285</v>
      </c>
      <c r="B407" s="2" t="s">
        <v>1286</v>
      </c>
      <c r="C407" s="2">
        <v>19202100055</v>
      </c>
      <c r="D407" s="2">
        <v>2.61</v>
      </c>
      <c r="E407" s="226" t="s">
        <v>420</v>
      </c>
      <c r="F407" s="647"/>
      <c r="G407" s="647"/>
    </row>
    <row r="408" spans="1:7" x14ac:dyDescent="0.25">
      <c r="A408" s="2" t="s">
        <v>1285</v>
      </c>
      <c r="B408" s="2" t="s">
        <v>1287</v>
      </c>
      <c r="C408" s="2">
        <v>19202100069</v>
      </c>
      <c r="D408" s="2">
        <v>3.13</v>
      </c>
      <c r="E408" s="225" t="s">
        <v>419</v>
      </c>
    </row>
    <row r="409" spans="1:7" x14ac:dyDescent="0.25">
      <c r="A409" s="2" t="s">
        <v>1285</v>
      </c>
      <c r="B409" s="2" t="s">
        <v>1287</v>
      </c>
      <c r="C409" s="2">
        <v>19202100044</v>
      </c>
      <c r="D409" s="2">
        <v>3.12</v>
      </c>
      <c r="E409" s="225" t="s">
        <v>419</v>
      </c>
    </row>
    <row r="410" spans="1:7" x14ac:dyDescent="0.25">
      <c r="A410" s="2" t="s">
        <v>1285</v>
      </c>
      <c r="B410" s="2" t="s">
        <v>1287</v>
      </c>
      <c r="C410" s="2">
        <v>19202100018</v>
      </c>
      <c r="D410" s="2">
        <v>2.95</v>
      </c>
      <c r="E410" s="225" t="s">
        <v>419</v>
      </c>
    </row>
    <row r="411" spans="1:7" x14ac:dyDescent="0.25">
      <c r="A411" s="2" t="s">
        <v>1285</v>
      </c>
      <c r="B411" s="2" t="s">
        <v>1287</v>
      </c>
      <c r="C411" s="2">
        <v>19202100020</v>
      </c>
      <c r="D411" s="2">
        <v>2.88</v>
      </c>
      <c r="E411" s="225" t="s">
        <v>419</v>
      </c>
    </row>
    <row r="412" spans="1:7" x14ac:dyDescent="0.25">
      <c r="A412" s="2" t="s">
        <v>1285</v>
      </c>
      <c r="B412" s="2" t="s">
        <v>1287</v>
      </c>
      <c r="C412" s="2">
        <v>19202100045</v>
      </c>
      <c r="D412" s="2">
        <v>2.86</v>
      </c>
      <c r="E412" s="225" t="s">
        <v>419</v>
      </c>
    </row>
    <row r="413" spans="1:7" x14ac:dyDescent="0.25">
      <c r="A413" s="2" t="s">
        <v>1285</v>
      </c>
      <c r="B413" s="2" t="s">
        <v>1287</v>
      </c>
      <c r="C413" s="2">
        <v>19202100053</v>
      </c>
      <c r="D413" s="2">
        <v>2.81</v>
      </c>
      <c r="E413" s="225" t="s">
        <v>419</v>
      </c>
    </row>
    <row r="414" spans="1:7" x14ac:dyDescent="0.25">
      <c r="A414" s="2" t="s">
        <v>1285</v>
      </c>
      <c r="B414" s="2" t="s">
        <v>1287</v>
      </c>
      <c r="C414" s="2">
        <v>19202100019</v>
      </c>
      <c r="D414" s="2">
        <v>2.74</v>
      </c>
      <c r="E414" s="225" t="s">
        <v>419</v>
      </c>
    </row>
    <row r="415" spans="1:7" x14ac:dyDescent="0.25">
      <c r="A415" s="2" t="s">
        <v>1285</v>
      </c>
      <c r="B415" s="2" t="s">
        <v>1287</v>
      </c>
      <c r="C415" s="2">
        <v>19202100027</v>
      </c>
      <c r="D415" s="2">
        <v>2.71</v>
      </c>
      <c r="E415" s="225" t="s">
        <v>419</v>
      </c>
    </row>
    <row r="416" spans="1:7" x14ac:dyDescent="0.25">
      <c r="A416" s="2" t="s">
        <v>1285</v>
      </c>
      <c r="B416" s="2" t="s">
        <v>1287</v>
      </c>
      <c r="C416" s="2">
        <v>19202100070</v>
      </c>
      <c r="D416" s="2">
        <v>2.61</v>
      </c>
      <c r="E416" s="225" t="s">
        <v>419</v>
      </c>
    </row>
    <row r="417" spans="1:7" x14ac:dyDescent="0.25">
      <c r="A417" s="2" t="s">
        <v>1285</v>
      </c>
      <c r="B417" s="2" t="s">
        <v>1288</v>
      </c>
      <c r="C417" s="2">
        <v>19202100032</v>
      </c>
      <c r="D417" s="2">
        <v>3.27</v>
      </c>
      <c r="E417" s="225" t="s">
        <v>419</v>
      </c>
      <c r="F417" s="647"/>
      <c r="G417" s="647"/>
    </row>
    <row r="418" spans="1:7" x14ac:dyDescent="0.25">
      <c r="A418" s="2" t="s">
        <v>1285</v>
      </c>
      <c r="B418" s="2" t="s">
        <v>1288</v>
      </c>
      <c r="C418" s="2">
        <v>19202100057</v>
      </c>
      <c r="D418" s="2">
        <v>3.2</v>
      </c>
      <c r="E418" s="225" t="s">
        <v>419</v>
      </c>
      <c r="F418" s="647"/>
      <c r="G418" s="647"/>
    </row>
    <row r="419" spans="1:7" x14ac:dyDescent="0.25">
      <c r="A419" s="2" t="s">
        <v>1285</v>
      </c>
      <c r="B419" s="2" t="s">
        <v>1288</v>
      </c>
      <c r="C419" s="2">
        <v>19202100037</v>
      </c>
      <c r="D419" s="2">
        <v>3.06</v>
      </c>
      <c r="E419" s="225" t="s">
        <v>419</v>
      </c>
      <c r="F419" s="647"/>
      <c r="G419" s="647"/>
    </row>
    <row r="420" spans="1:7" x14ac:dyDescent="0.25">
      <c r="A420" s="2" t="s">
        <v>1285</v>
      </c>
      <c r="B420" s="2" t="s">
        <v>1288</v>
      </c>
      <c r="C420" s="2">
        <v>19202100034</v>
      </c>
      <c r="D420" s="2">
        <v>2.77</v>
      </c>
      <c r="E420" s="226" t="s">
        <v>420</v>
      </c>
      <c r="F420" s="647"/>
      <c r="G420" s="647"/>
    </row>
    <row r="421" spans="1:7" x14ac:dyDescent="0.25">
      <c r="A421" s="2" t="s">
        <v>1285</v>
      </c>
      <c r="B421" s="2" t="s">
        <v>1288</v>
      </c>
      <c r="C421" s="2">
        <v>19202100040</v>
      </c>
      <c r="D421" s="2">
        <v>2.67</v>
      </c>
      <c r="E421" s="226" t="s">
        <v>420</v>
      </c>
      <c r="F421" s="647"/>
      <c r="G421" s="647"/>
    </row>
    <row r="422" spans="1:7" x14ac:dyDescent="0.25">
      <c r="A422" s="2" t="s">
        <v>1285</v>
      </c>
      <c r="B422" s="2" t="s">
        <v>1288</v>
      </c>
      <c r="C422" s="2">
        <v>19202100052</v>
      </c>
      <c r="D422" s="2">
        <v>2.65</v>
      </c>
      <c r="E422" s="226" t="s">
        <v>420</v>
      </c>
      <c r="F422" s="647"/>
      <c r="G422" s="647"/>
    </row>
    <row r="423" spans="1:7" x14ac:dyDescent="0.25">
      <c r="A423" s="2" t="s">
        <v>1285</v>
      </c>
      <c r="B423" s="2" t="s">
        <v>1288</v>
      </c>
      <c r="C423" s="2">
        <v>19202100056</v>
      </c>
      <c r="D423" s="2">
        <v>2.38</v>
      </c>
      <c r="E423" s="226" t="s">
        <v>420</v>
      </c>
      <c r="F423" s="647"/>
      <c r="G423" s="647"/>
    </row>
    <row r="424" spans="1:7" x14ac:dyDescent="0.25">
      <c r="A424" s="2" t="s">
        <v>1285</v>
      </c>
      <c r="B424" s="2" t="s">
        <v>1288</v>
      </c>
      <c r="C424" s="2">
        <v>19202100071</v>
      </c>
      <c r="D424" s="2">
        <v>2.33</v>
      </c>
      <c r="E424" s="226" t="s">
        <v>420</v>
      </c>
      <c r="F424" s="647"/>
      <c r="G424" s="647"/>
    </row>
    <row r="425" spans="1:7" x14ac:dyDescent="0.25">
      <c r="A425" s="2" t="s">
        <v>1285</v>
      </c>
      <c r="B425" s="2" t="s">
        <v>1289</v>
      </c>
      <c r="C425" s="2">
        <v>19202100048</v>
      </c>
      <c r="D425" s="2">
        <v>3.34</v>
      </c>
      <c r="E425" s="225" t="s">
        <v>419</v>
      </c>
    </row>
    <row r="426" spans="1:7" x14ac:dyDescent="0.25">
      <c r="A426" s="2" t="s">
        <v>1285</v>
      </c>
      <c r="B426" s="2" t="s">
        <v>1289</v>
      </c>
      <c r="C426" s="2">
        <v>19202100035</v>
      </c>
      <c r="D426" s="2">
        <v>3.02</v>
      </c>
      <c r="E426" s="225" t="s">
        <v>419</v>
      </c>
    </row>
    <row r="427" spans="1:7" x14ac:dyDescent="0.25">
      <c r="A427" s="2" t="s">
        <v>1285</v>
      </c>
      <c r="B427" s="2" t="s">
        <v>1289</v>
      </c>
      <c r="C427" s="2">
        <v>19202100067</v>
      </c>
      <c r="D427" s="2">
        <v>3</v>
      </c>
      <c r="E427" s="225" t="s">
        <v>419</v>
      </c>
    </row>
    <row r="428" spans="1:7" x14ac:dyDescent="0.25">
      <c r="A428" s="2" t="s">
        <v>1285</v>
      </c>
      <c r="B428" s="2" t="s">
        <v>1290</v>
      </c>
      <c r="C428" s="2">
        <v>19202100033</v>
      </c>
      <c r="D428" s="2">
        <v>3.3</v>
      </c>
      <c r="E428" s="225" t="s">
        <v>419</v>
      </c>
      <c r="F428" s="647"/>
      <c r="G428" s="647"/>
    </row>
    <row r="429" spans="1:7" x14ac:dyDescent="0.25">
      <c r="A429" s="2" t="s">
        <v>1285</v>
      </c>
      <c r="B429" s="2" t="s">
        <v>1290</v>
      </c>
      <c r="C429" s="2">
        <v>19202100030</v>
      </c>
      <c r="D429" s="2">
        <v>3.27</v>
      </c>
      <c r="E429" s="225" t="s">
        <v>419</v>
      </c>
      <c r="F429" s="647"/>
      <c r="G429" s="647"/>
    </row>
    <row r="430" spans="1:7" x14ac:dyDescent="0.25">
      <c r="A430" s="2" t="s">
        <v>1285</v>
      </c>
      <c r="B430" s="2" t="s">
        <v>1290</v>
      </c>
      <c r="C430" s="2">
        <v>19202100036</v>
      </c>
      <c r="D430" s="2">
        <v>3.22</v>
      </c>
      <c r="E430" s="225" t="s">
        <v>419</v>
      </c>
      <c r="F430" s="647"/>
      <c r="G430" s="647"/>
    </row>
    <row r="431" spans="1:7" x14ac:dyDescent="0.25">
      <c r="A431" s="2" t="s">
        <v>1285</v>
      </c>
      <c r="B431" s="2" t="s">
        <v>1290</v>
      </c>
      <c r="C431" s="2">
        <v>19202100051</v>
      </c>
      <c r="D431" s="2">
        <v>3.01</v>
      </c>
      <c r="E431" s="225" t="s">
        <v>419</v>
      </c>
      <c r="F431" s="647"/>
      <c r="G431" s="647"/>
    </row>
    <row r="432" spans="1:7" x14ac:dyDescent="0.25">
      <c r="A432" s="2" t="s">
        <v>1285</v>
      </c>
      <c r="B432" s="2" t="s">
        <v>1290</v>
      </c>
      <c r="C432" s="2">
        <v>19202100060</v>
      </c>
      <c r="D432" s="2">
        <v>3.01</v>
      </c>
      <c r="E432" s="225" t="s">
        <v>419</v>
      </c>
      <c r="F432" s="647"/>
      <c r="G432" s="647"/>
    </row>
    <row r="433" spans="1:7" x14ac:dyDescent="0.25">
      <c r="A433" s="2" t="s">
        <v>1285</v>
      </c>
      <c r="B433" s="2" t="s">
        <v>1290</v>
      </c>
      <c r="C433" s="2">
        <v>19202100047</v>
      </c>
      <c r="D433" s="2">
        <v>3</v>
      </c>
      <c r="E433" s="225" t="s">
        <v>419</v>
      </c>
      <c r="F433" s="647"/>
      <c r="G433" s="647"/>
    </row>
    <row r="434" spans="1:7" x14ac:dyDescent="0.25">
      <c r="A434" s="2" t="s">
        <v>1285</v>
      </c>
      <c r="B434" s="2" t="s">
        <v>1290</v>
      </c>
      <c r="C434" s="2">
        <v>19202100039</v>
      </c>
      <c r="D434" s="2">
        <v>2.9</v>
      </c>
      <c r="E434" s="225" t="s">
        <v>419</v>
      </c>
      <c r="F434" s="647"/>
      <c r="G434" s="647"/>
    </row>
    <row r="435" spans="1:7" x14ac:dyDescent="0.25">
      <c r="A435" s="2" t="s">
        <v>1285</v>
      </c>
      <c r="B435" s="2" t="s">
        <v>1290</v>
      </c>
      <c r="C435" s="2">
        <v>19202100031</v>
      </c>
      <c r="D435" s="2">
        <v>2.8</v>
      </c>
      <c r="E435" s="226" t="s">
        <v>420</v>
      </c>
      <c r="F435" s="647"/>
      <c r="G435" s="647"/>
    </row>
    <row r="436" spans="1:7" x14ac:dyDescent="0.25">
      <c r="A436" s="2" t="s">
        <v>1285</v>
      </c>
      <c r="B436" s="11" t="s">
        <v>1291</v>
      </c>
      <c r="C436" s="2">
        <v>19202100066</v>
      </c>
      <c r="D436" s="2">
        <v>2.91</v>
      </c>
      <c r="E436" s="225" t="s">
        <v>419</v>
      </c>
    </row>
    <row r="437" spans="1:7" x14ac:dyDescent="0.25">
      <c r="A437" s="2" t="s">
        <v>1285</v>
      </c>
      <c r="B437" s="11" t="s">
        <v>1291</v>
      </c>
      <c r="C437" s="2">
        <v>19202100062</v>
      </c>
      <c r="D437" s="2">
        <v>2.73</v>
      </c>
      <c r="E437" s="225" t="s">
        <v>419</v>
      </c>
    </row>
    <row r="438" spans="1:7" x14ac:dyDescent="0.25">
      <c r="A438" s="2" t="s">
        <v>1294</v>
      </c>
      <c r="B438" s="2" t="s">
        <v>1293</v>
      </c>
      <c r="C438" s="2">
        <v>19202100131</v>
      </c>
      <c r="D438" s="2">
        <v>2.86</v>
      </c>
      <c r="E438" s="225" t="s">
        <v>419</v>
      </c>
    </row>
    <row r="439" spans="1:7" x14ac:dyDescent="0.25">
      <c r="A439" s="2" t="s">
        <v>1294</v>
      </c>
      <c r="B439" s="2" t="s">
        <v>1295</v>
      </c>
      <c r="C439" s="2">
        <v>19202100104</v>
      </c>
      <c r="D439" s="2">
        <v>3.16</v>
      </c>
      <c r="E439" s="225" t="s">
        <v>419</v>
      </c>
      <c r="F439" s="647"/>
      <c r="G439" s="647"/>
    </row>
    <row r="440" spans="1:7" x14ac:dyDescent="0.25">
      <c r="A440" s="2" t="s">
        <v>1294</v>
      </c>
      <c r="B440" s="2" t="s">
        <v>1295</v>
      </c>
      <c r="C440" s="2">
        <v>19202100103</v>
      </c>
      <c r="D440" s="2">
        <v>3.14</v>
      </c>
      <c r="E440" s="225" t="s">
        <v>419</v>
      </c>
      <c r="F440" s="647"/>
      <c r="G440" s="647"/>
    </row>
    <row r="441" spans="1:7" x14ac:dyDescent="0.25">
      <c r="A441" s="2" t="s">
        <v>1294</v>
      </c>
      <c r="B441" s="2" t="s">
        <v>1295</v>
      </c>
      <c r="C441" s="2">
        <v>19202100151</v>
      </c>
      <c r="D441" s="2">
        <v>2.91</v>
      </c>
      <c r="E441" s="225" t="s">
        <v>419</v>
      </c>
      <c r="F441" s="647"/>
      <c r="G441" s="647"/>
    </row>
    <row r="442" spans="1:7" x14ac:dyDescent="0.25">
      <c r="A442" s="2" t="s">
        <v>1294</v>
      </c>
      <c r="B442" s="2" t="s">
        <v>1295</v>
      </c>
      <c r="C442" s="2">
        <v>19202100153</v>
      </c>
      <c r="D442" s="2">
        <v>2.83</v>
      </c>
      <c r="E442" s="225" t="s">
        <v>419</v>
      </c>
      <c r="F442" s="647"/>
      <c r="G442" s="647"/>
    </row>
    <row r="443" spans="1:7" x14ac:dyDescent="0.25">
      <c r="A443" s="2" t="s">
        <v>1294</v>
      </c>
      <c r="B443" s="2" t="s">
        <v>1295</v>
      </c>
      <c r="C443" s="2">
        <v>19202100154</v>
      </c>
      <c r="D443" s="2">
        <v>2.61</v>
      </c>
      <c r="E443" s="226" t="s">
        <v>420</v>
      </c>
      <c r="F443" s="647"/>
      <c r="G443" s="647"/>
    </row>
    <row r="444" spans="1:7" x14ac:dyDescent="0.25">
      <c r="A444" s="2" t="s">
        <v>1294</v>
      </c>
      <c r="B444" s="2" t="s">
        <v>1296</v>
      </c>
      <c r="C444" s="2">
        <v>19202100116</v>
      </c>
      <c r="D444" s="2">
        <v>2.78</v>
      </c>
      <c r="E444" s="225" t="s">
        <v>419</v>
      </c>
    </row>
    <row r="445" spans="1:7" x14ac:dyDescent="0.25">
      <c r="A445" s="2" t="s">
        <v>1294</v>
      </c>
      <c r="B445" s="2" t="s">
        <v>1296</v>
      </c>
      <c r="C445" s="2">
        <v>19202100155</v>
      </c>
      <c r="D445" s="2">
        <v>2.73</v>
      </c>
      <c r="E445" s="225" t="s">
        <v>419</v>
      </c>
    </row>
    <row r="446" spans="1:7" x14ac:dyDescent="0.25">
      <c r="A446" s="2" t="s">
        <v>1294</v>
      </c>
      <c r="B446" s="2" t="s">
        <v>1297</v>
      </c>
      <c r="C446" s="2">
        <v>19202100126</v>
      </c>
      <c r="D446" s="2">
        <v>2.56</v>
      </c>
      <c r="E446" s="225" t="s">
        <v>419</v>
      </c>
    </row>
    <row r="447" spans="1:7" x14ac:dyDescent="0.25">
      <c r="A447" s="2" t="s">
        <v>1294</v>
      </c>
      <c r="B447" s="2" t="s">
        <v>1298</v>
      </c>
      <c r="C447" s="2">
        <v>19202100110</v>
      </c>
      <c r="D447" s="2">
        <v>2.75</v>
      </c>
      <c r="E447" s="225" t="s">
        <v>419</v>
      </c>
    </row>
    <row r="448" spans="1:7" x14ac:dyDescent="0.25">
      <c r="A448" s="2" t="s">
        <v>1294</v>
      </c>
      <c r="B448" s="2" t="s">
        <v>1299</v>
      </c>
      <c r="C448" s="2">
        <v>19202100111</v>
      </c>
      <c r="D448" s="2">
        <v>2.79</v>
      </c>
      <c r="E448" s="225" t="s">
        <v>419</v>
      </c>
    </row>
    <row r="449" spans="1:5" x14ac:dyDescent="0.25">
      <c r="A449" s="2" t="s">
        <v>1294</v>
      </c>
      <c r="B449" s="2" t="s">
        <v>1299</v>
      </c>
      <c r="C449" s="2">
        <v>19202100150</v>
      </c>
      <c r="D449" s="2">
        <v>2.79</v>
      </c>
      <c r="E449" s="225" t="s">
        <v>419</v>
      </c>
    </row>
    <row r="450" spans="1:5" x14ac:dyDescent="0.25">
      <c r="A450" s="2" t="s">
        <v>1294</v>
      </c>
      <c r="B450" s="2" t="s">
        <v>1300</v>
      </c>
      <c r="C450" s="2">
        <v>19202100112</v>
      </c>
      <c r="D450" s="2">
        <v>2.77</v>
      </c>
      <c r="E450" s="225" t="s">
        <v>419</v>
      </c>
    </row>
    <row r="451" spans="1:5" x14ac:dyDescent="0.25">
      <c r="A451" s="2" t="s">
        <v>1294</v>
      </c>
      <c r="B451" s="2" t="s">
        <v>1301</v>
      </c>
      <c r="C451" s="2">
        <v>19202100152</v>
      </c>
      <c r="D451" s="2">
        <v>2.94</v>
      </c>
      <c r="E451" s="225" t="s">
        <v>419</v>
      </c>
    </row>
    <row r="452" spans="1:5" x14ac:dyDescent="0.25">
      <c r="A452" s="2" t="s">
        <v>1294</v>
      </c>
      <c r="B452" s="2" t="s">
        <v>1302</v>
      </c>
      <c r="C452" s="2">
        <v>19202100148</v>
      </c>
      <c r="D452" s="2">
        <v>3.02</v>
      </c>
      <c r="E452" s="225" t="s">
        <v>419</v>
      </c>
    </row>
    <row r="453" spans="1:5" x14ac:dyDescent="0.25">
      <c r="A453" s="2" t="s">
        <v>1294</v>
      </c>
      <c r="B453" s="2" t="s">
        <v>1303</v>
      </c>
      <c r="C453" s="2">
        <v>19202100124</v>
      </c>
      <c r="D453" s="2">
        <v>3</v>
      </c>
      <c r="E453" s="225" t="s">
        <v>419</v>
      </c>
    </row>
    <row r="454" spans="1:5" x14ac:dyDescent="0.25">
      <c r="A454" s="2" t="s">
        <v>1294</v>
      </c>
      <c r="B454" s="2" t="s">
        <v>1303</v>
      </c>
      <c r="C454" s="2">
        <v>19202100128</v>
      </c>
      <c r="D454" s="2">
        <v>2.98</v>
      </c>
      <c r="E454" s="225" t="s">
        <v>419</v>
      </c>
    </row>
    <row r="455" spans="1:5" x14ac:dyDescent="0.25">
      <c r="A455" s="2" t="s">
        <v>1294</v>
      </c>
      <c r="B455" s="2" t="s">
        <v>1303</v>
      </c>
      <c r="C455" s="2">
        <v>19202100115</v>
      </c>
      <c r="D455" s="2">
        <v>2.63</v>
      </c>
      <c r="E455" s="225" t="s">
        <v>419</v>
      </c>
    </row>
    <row r="456" spans="1:5" x14ac:dyDescent="0.25">
      <c r="A456" s="2" t="s">
        <v>1294</v>
      </c>
      <c r="B456" s="2" t="s">
        <v>1304</v>
      </c>
      <c r="C456" s="2">
        <v>19202100123</v>
      </c>
      <c r="D456" s="2">
        <v>3.04</v>
      </c>
      <c r="E456" s="225" t="s">
        <v>419</v>
      </c>
    </row>
    <row r="457" spans="1:5" x14ac:dyDescent="0.25">
      <c r="A457" s="2" t="s">
        <v>1294</v>
      </c>
      <c r="B457" s="2" t="s">
        <v>1304</v>
      </c>
      <c r="C457" s="2">
        <v>19202100114</v>
      </c>
      <c r="D457" s="2">
        <v>2.91</v>
      </c>
      <c r="E457" s="225" t="s">
        <v>419</v>
      </c>
    </row>
    <row r="458" spans="1:5" x14ac:dyDescent="0.25">
      <c r="A458" s="2" t="s">
        <v>1294</v>
      </c>
      <c r="B458" s="2" t="s">
        <v>1304</v>
      </c>
      <c r="C458" s="2">
        <v>19202100102</v>
      </c>
      <c r="D458" s="2">
        <v>2.74</v>
      </c>
      <c r="E458" s="226" t="s">
        <v>420</v>
      </c>
    </row>
    <row r="459" spans="1:5" x14ac:dyDescent="0.25">
      <c r="A459" s="2" t="s">
        <v>1294</v>
      </c>
      <c r="B459" s="2" t="s">
        <v>1304</v>
      </c>
      <c r="C459" s="2">
        <v>19202100108</v>
      </c>
      <c r="D459" s="2">
        <v>2.73</v>
      </c>
      <c r="E459" s="226" t="s">
        <v>420</v>
      </c>
    </row>
    <row r="460" spans="1:5" x14ac:dyDescent="0.25">
      <c r="A460" s="2" t="s">
        <v>1439</v>
      </c>
      <c r="B460" s="2" t="s">
        <v>1440</v>
      </c>
      <c r="C460" s="2">
        <v>19202101437</v>
      </c>
      <c r="D460" s="2">
        <v>3</v>
      </c>
      <c r="E460" s="225" t="s">
        <v>419</v>
      </c>
    </row>
    <row r="461" spans="1:5" x14ac:dyDescent="0.25">
      <c r="A461" s="2" t="s">
        <v>1439</v>
      </c>
      <c r="B461" s="2" t="s">
        <v>1440</v>
      </c>
      <c r="C461" s="2">
        <v>19202101424</v>
      </c>
      <c r="D461" s="2">
        <v>2.77</v>
      </c>
      <c r="E461" s="225" t="s">
        <v>419</v>
      </c>
    </row>
    <row r="462" spans="1:5" x14ac:dyDescent="0.25">
      <c r="A462" s="2" t="s">
        <v>1439</v>
      </c>
      <c r="B462" s="2" t="s">
        <v>1440</v>
      </c>
      <c r="C462" s="2">
        <v>19202101408</v>
      </c>
      <c r="D462" s="2">
        <v>2.66</v>
      </c>
      <c r="E462" s="225" t="s">
        <v>419</v>
      </c>
    </row>
    <row r="463" spans="1:5" x14ac:dyDescent="0.25">
      <c r="A463" s="2" t="s">
        <v>1439</v>
      </c>
      <c r="B463" s="2" t="s">
        <v>1440</v>
      </c>
      <c r="C463" s="2">
        <v>19202101433</v>
      </c>
      <c r="D463" s="2">
        <v>2.66</v>
      </c>
      <c r="E463" s="225" t="s">
        <v>419</v>
      </c>
    </row>
    <row r="464" spans="1:5" x14ac:dyDescent="0.25">
      <c r="A464" s="2" t="s">
        <v>1439</v>
      </c>
      <c r="B464" s="2" t="s">
        <v>1440</v>
      </c>
      <c r="C464" s="2">
        <v>19202101401</v>
      </c>
      <c r="D464" s="2">
        <v>2.65</v>
      </c>
      <c r="E464" s="225" t="s">
        <v>419</v>
      </c>
    </row>
    <row r="465" spans="1:5" x14ac:dyDescent="0.25">
      <c r="A465" s="2" t="s">
        <v>1439</v>
      </c>
      <c r="B465" s="2" t="s">
        <v>1440</v>
      </c>
      <c r="C465" s="2">
        <v>19202101427</v>
      </c>
      <c r="D465" s="2">
        <v>2.63</v>
      </c>
      <c r="E465" s="225" t="s">
        <v>419</v>
      </c>
    </row>
    <row r="466" spans="1:5" x14ac:dyDescent="0.25">
      <c r="A466" s="2" t="s">
        <v>1439</v>
      </c>
      <c r="B466" s="2" t="s">
        <v>1440</v>
      </c>
      <c r="C466" s="2">
        <v>19202101400</v>
      </c>
      <c r="D466" s="2">
        <v>2.54</v>
      </c>
      <c r="E466" s="226" t="s">
        <v>420</v>
      </c>
    </row>
    <row r="467" spans="1:5" x14ac:dyDescent="0.25">
      <c r="A467" s="2" t="s">
        <v>1439</v>
      </c>
      <c r="B467" s="2" t="s">
        <v>1440</v>
      </c>
      <c r="C467" s="2">
        <v>19202101440</v>
      </c>
      <c r="D467" s="2">
        <v>2.52</v>
      </c>
      <c r="E467" s="226" t="s">
        <v>420</v>
      </c>
    </row>
    <row r="468" spans="1:5" x14ac:dyDescent="0.25">
      <c r="A468" s="2" t="s">
        <v>1439</v>
      </c>
      <c r="B468" s="2" t="s">
        <v>1441</v>
      </c>
      <c r="C468" s="2">
        <v>19202101447</v>
      </c>
      <c r="D468" s="2">
        <v>3.13</v>
      </c>
      <c r="E468" s="225" t="s">
        <v>419</v>
      </c>
    </row>
    <row r="469" spans="1:5" x14ac:dyDescent="0.25">
      <c r="A469" s="2" t="s">
        <v>1439</v>
      </c>
      <c r="B469" s="2" t="s">
        <v>1441</v>
      </c>
      <c r="C469" s="2">
        <v>19202101405</v>
      </c>
      <c r="D469" s="2">
        <v>2.97</v>
      </c>
      <c r="E469" s="225" t="s">
        <v>419</v>
      </c>
    </row>
    <row r="470" spans="1:5" x14ac:dyDescent="0.25">
      <c r="A470" s="2" t="s">
        <v>1439</v>
      </c>
      <c r="B470" s="2" t="s">
        <v>1441</v>
      </c>
      <c r="C470" s="2">
        <v>19202101406</v>
      </c>
      <c r="D470" s="2">
        <v>2.71</v>
      </c>
      <c r="E470" s="225" t="s">
        <v>419</v>
      </c>
    </row>
    <row r="471" spans="1:5" x14ac:dyDescent="0.25">
      <c r="A471" s="2" t="s">
        <v>1439</v>
      </c>
      <c r="B471" s="2" t="s">
        <v>1441</v>
      </c>
      <c r="C471" s="2">
        <v>19202101418</v>
      </c>
      <c r="D471" s="2">
        <v>2.67</v>
      </c>
      <c r="E471" s="225" t="s">
        <v>419</v>
      </c>
    </row>
    <row r="472" spans="1:5" x14ac:dyDescent="0.25">
      <c r="A472" s="2" t="s">
        <v>1439</v>
      </c>
      <c r="B472" s="2" t="s">
        <v>1441</v>
      </c>
      <c r="C472" s="2">
        <v>19202101441</v>
      </c>
      <c r="D472" s="2">
        <v>2.66</v>
      </c>
      <c r="E472" s="225" t="s">
        <v>419</v>
      </c>
    </row>
    <row r="473" spans="1:5" x14ac:dyDescent="0.25">
      <c r="A473" s="2" t="s">
        <v>1439</v>
      </c>
      <c r="B473" s="2" t="s">
        <v>1441</v>
      </c>
      <c r="C473" s="2">
        <v>19202101435</v>
      </c>
      <c r="D473" s="2">
        <v>2.58</v>
      </c>
      <c r="E473" s="225" t="s">
        <v>419</v>
      </c>
    </row>
    <row r="474" spans="1:5" x14ac:dyDescent="0.25">
      <c r="A474" s="2" t="s">
        <v>1439</v>
      </c>
      <c r="B474" s="2" t="s">
        <v>1441</v>
      </c>
      <c r="C474" s="2">
        <v>19202101426</v>
      </c>
      <c r="D474" s="2">
        <v>2.57</v>
      </c>
      <c r="E474" s="225" t="s">
        <v>419</v>
      </c>
    </row>
    <row r="475" spans="1:5" x14ac:dyDescent="0.25">
      <c r="A475" s="2" t="s">
        <v>1439</v>
      </c>
      <c r="B475" s="2" t="s">
        <v>1441</v>
      </c>
      <c r="C475" s="2">
        <v>19202101415</v>
      </c>
      <c r="D475" s="2">
        <v>2.56</v>
      </c>
      <c r="E475" s="225" t="s">
        <v>419</v>
      </c>
    </row>
    <row r="476" spans="1:5" x14ac:dyDescent="0.25">
      <c r="A476" s="2" t="s">
        <v>1439</v>
      </c>
      <c r="B476" s="2" t="s">
        <v>1441</v>
      </c>
      <c r="C476" s="2">
        <v>19202101403</v>
      </c>
      <c r="D476" s="2">
        <v>2.5499999999999998</v>
      </c>
      <c r="E476" s="225" t="s">
        <v>419</v>
      </c>
    </row>
    <row r="477" spans="1:5" x14ac:dyDescent="0.25">
      <c r="A477" s="2" t="s">
        <v>1439</v>
      </c>
      <c r="B477" s="2" t="s">
        <v>1441</v>
      </c>
      <c r="C477" s="2">
        <v>19202101428</v>
      </c>
      <c r="D477" s="2">
        <v>2.5499999999999998</v>
      </c>
      <c r="E477" s="225" t="s">
        <v>419</v>
      </c>
    </row>
    <row r="478" spans="1:5" x14ac:dyDescent="0.25">
      <c r="A478" s="2" t="s">
        <v>1439</v>
      </c>
      <c r="B478" s="2" t="s">
        <v>1441</v>
      </c>
      <c r="C478" s="2">
        <v>19202101407</v>
      </c>
      <c r="D478" s="2">
        <v>2.5299999999999998</v>
      </c>
      <c r="E478" s="225" t="s">
        <v>419</v>
      </c>
    </row>
    <row r="479" spans="1:5" x14ac:dyDescent="0.25">
      <c r="A479" s="2" t="s">
        <v>1439</v>
      </c>
      <c r="B479" s="2" t="s">
        <v>1441</v>
      </c>
      <c r="C479" s="2">
        <v>19202101438</v>
      </c>
      <c r="D479" s="2">
        <v>2.5299999999999998</v>
      </c>
      <c r="E479" s="225" t="s">
        <v>419</v>
      </c>
    </row>
    <row r="480" spans="1:5" x14ac:dyDescent="0.25">
      <c r="A480" s="2" t="s">
        <v>1439</v>
      </c>
      <c r="B480" s="2" t="s">
        <v>1441</v>
      </c>
      <c r="C480" s="2">
        <v>19202101414</v>
      </c>
      <c r="D480" s="2">
        <v>2.52</v>
      </c>
      <c r="E480" s="225" t="s">
        <v>419</v>
      </c>
    </row>
    <row r="481" spans="1:5" x14ac:dyDescent="0.25">
      <c r="A481" s="2" t="s">
        <v>1439</v>
      </c>
      <c r="B481" s="2" t="s">
        <v>1442</v>
      </c>
      <c r="C481" s="2">
        <v>19202101417</v>
      </c>
      <c r="D481" s="2">
        <v>3.13</v>
      </c>
      <c r="E481" s="225" t="s">
        <v>419</v>
      </c>
    </row>
    <row r="482" spans="1:5" x14ac:dyDescent="0.25">
      <c r="A482" s="2" t="s">
        <v>1439</v>
      </c>
      <c r="B482" s="2" t="s">
        <v>1442</v>
      </c>
      <c r="C482" s="2">
        <v>19202101421</v>
      </c>
      <c r="D482" s="2">
        <v>2.85</v>
      </c>
      <c r="E482" s="225" t="s">
        <v>419</v>
      </c>
    </row>
    <row r="483" spans="1:5" x14ac:dyDescent="0.25">
      <c r="A483" s="2" t="s">
        <v>1439</v>
      </c>
      <c r="B483" s="2" t="s">
        <v>1442</v>
      </c>
      <c r="C483" s="2">
        <v>19202101439</v>
      </c>
      <c r="D483" s="2">
        <v>2.78</v>
      </c>
      <c r="E483" s="225" t="s">
        <v>419</v>
      </c>
    </row>
    <row r="484" spans="1:5" x14ac:dyDescent="0.25">
      <c r="A484" s="2" t="s">
        <v>1439</v>
      </c>
      <c r="B484" s="2" t="s">
        <v>1442</v>
      </c>
      <c r="C484" s="2">
        <v>19202101445</v>
      </c>
      <c r="D484" s="2">
        <v>2.75</v>
      </c>
      <c r="E484" s="225" t="s">
        <v>419</v>
      </c>
    </row>
    <row r="485" spans="1:5" x14ac:dyDescent="0.25">
      <c r="A485" s="2" t="s">
        <v>1439</v>
      </c>
      <c r="B485" s="2" t="s">
        <v>1442</v>
      </c>
      <c r="C485" s="2">
        <v>19202101404</v>
      </c>
      <c r="D485" s="2">
        <v>2.5499999999999998</v>
      </c>
      <c r="E485" s="225" t="s">
        <v>419</v>
      </c>
    </row>
    <row r="486" spans="1:5" x14ac:dyDescent="0.25">
      <c r="A486" s="2" t="s">
        <v>1439</v>
      </c>
      <c r="B486" s="2" t="s">
        <v>1442</v>
      </c>
      <c r="C486" s="2">
        <v>19202101293</v>
      </c>
      <c r="D486" s="2">
        <v>2.5099999999999998</v>
      </c>
      <c r="E486" s="225" t="s">
        <v>419</v>
      </c>
    </row>
    <row r="487" spans="1:5" x14ac:dyDescent="0.25">
      <c r="A487" s="2" t="s">
        <v>1439</v>
      </c>
      <c r="B487" s="2" t="s">
        <v>1443</v>
      </c>
      <c r="C487" s="2">
        <v>19202101449</v>
      </c>
      <c r="D487" s="2">
        <v>2.97</v>
      </c>
      <c r="E487" s="225" t="s">
        <v>419</v>
      </c>
    </row>
    <row r="488" spans="1:5" x14ac:dyDescent="0.25">
      <c r="A488" s="2" t="s">
        <v>1439</v>
      </c>
      <c r="B488" s="2" t="s">
        <v>1443</v>
      </c>
      <c r="C488" s="2">
        <v>19202101443</v>
      </c>
      <c r="D488" s="2">
        <v>2.88</v>
      </c>
      <c r="E488" s="225" t="s">
        <v>419</v>
      </c>
    </row>
    <row r="489" spans="1:5" x14ac:dyDescent="0.25">
      <c r="A489" s="2" t="s">
        <v>1439</v>
      </c>
      <c r="B489" s="2" t="s">
        <v>1443</v>
      </c>
      <c r="C489" s="2">
        <v>19202101422</v>
      </c>
      <c r="D489" s="2">
        <v>2.82</v>
      </c>
      <c r="E489" s="225" t="s">
        <v>419</v>
      </c>
    </row>
    <row r="490" spans="1:5" x14ac:dyDescent="0.25">
      <c r="A490" s="2" t="s">
        <v>1439</v>
      </c>
      <c r="B490" s="2" t="s">
        <v>1443</v>
      </c>
      <c r="C490" s="2">
        <v>19202101431</v>
      </c>
      <c r="D490" s="2">
        <v>2.61</v>
      </c>
      <c r="E490" s="225" t="s">
        <v>419</v>
      </c>
    </row>
    <row r="491" spans="1:5" x14ac:dyDescent="0.25">
      <c r="A491" s="2" t="s">
        <v>1439</v>
      </c>
      <c r="B491" s="2" t="s">
        <v>1444</v>
      </c>
      <c r="C491" s="2">
        <v>19202101429</v>
      </c>
      <c r="D491" s="2">
        <v>2.92</v>
      </c>
      <c r="E491" s="225" t="s">
        <v>419</v>
      </c>
    </row>
    <row r="492" spans="1:5" x14ac:dyDescent="0.25">
      <c r="A492" s="2" t="s">
        <v>1439</v>
      </c>
      <c r="B492" s="2" t="s">
        <v>1444</v>
      </c>
      <c r="C492" s="2">
        <v>19202101442</v>
      </c>
      <c r="D492" s="2">
        <v>2.6</v>
      </c>
      <c r="E492" s="225" t="s">
        <v>419</v>
      </c>
    </row>
    <row r="493" spans="1:5" x14ac:dyDescent="0.25">
      <c r="A493" s="2" t="s">
        <v>1439</v>
      </c>
      <c r="B493" s="2" t="s">
        <v>1444</v>
      </c>
      <c r="C493" s="2">
        <v>19202101420</v>
      </c>
      <c r="D493" s="2">
        <v>2.58</v>
      </c>
      <c r="E493" s="225" t="s">
        <v>419</v>
      </c>
    </row>
    <row r="494" spans="1:5" x14ac:dyDescent="0.25">
      <c r="A494" s="2" t="s">
        <v>1439</v>
      </c>
      <c r="B494" s="2" t="s">
        <v>1444</v>
      </c>
      <c r="C494" s="2">
        <v>19202101402</v>
      </c>
      <c r="D494" s="2">
        <v>2.54</v>
      </c>
      <c r="E494" s="225" t="s">
        <v>419</v>
      </c>
    </row>
    <row r="495" spans="1:5" x14ac:dyDescent="0.25">
      <c r="A495" s="2" t="s">
        <v>1439</v>
      </c>
      <c r="B495" s="2" t="s">
        <v>1444</v>
      </c>
      <c r="C495" s="2">
        <v>19202101434</v>
      </c>
      <c r="D495" s="2">
        <v>1.88</v>
      </c>
      <c r="E495" s="226" t="s">
        <v>420</v>
      </c>
    </row>
    <row r="496" spans="1:5" x14ac:dyDescent="0.25">
      <c r="A496" s="2" t="s">
        <v>1439</v>
      </c>
      <c r="B496" s="2" t="s">
        <v>1445</v>
      </c>
      <c r="C496" s="2">
        <v>19202101446</v>
      </c>
      <c r="D496" s="2">
        <v>3.05</v>
      </c>
      <c r="E496" s="225" t="s">
        <v>419</v>
      </c>
    </row>
    <row r="497" spans="1:5" x14ac:dyDescent="0.25">
      <c r="A497" s="2" t="s">
        <v>1439</v>
      </c>
      <c r="B497" s="2" t="s">
        <v>1445</v>
      </c>
      <c r="C497" s="2">
        <v>19202101432</v>
      </c>
      <c r="D497" s="2">
        <v>3.01</v>
      </c>
      <c r="E497" s="225" t="s">
        <v>419</v>
      </c>
    </row>
    <row r="498" spans="1:5" x14ac:dyDescent="0.25">
      <c r="A498" s="2" t="s">
        <v>1439</v>
      </c>
      <c r="B498" s="2" t="s">
        <v>1445</v>
      </c>
      <c r="C498" s="2">
        <v>19202101448</v>
      </c>
      <c r="D498" s="2">
        <v>2.87</v>
      </c>
      <c r="E498" s="225" t="s">
        <v>419</v>
      </c>
    </row>
    <row r="499" spans="1:5" x14ac:dyDescent="0.25">
      <c r="A499" s="2" t="s">
        <v>1439</v>
      </c>
      <c r="B499" s="2" t="s">
        <v>1445</v>
      </c>
      <c r="C499" s="2">
        <v>19202101451</v>
      </c>
      <c r="D499" s="2">
        <v>2.69</v>
      </c>
      <c r="E499" s="226" t="s">
        <v>420</v>
      </c>
    </row>
    <row r="500" spans="1:5" x14ac:dyDescent="0.25">
      <c r="A500" s="2" t="s">
        <v>1439</v>
      </c>
      <c r="B500" s="2" t="s">
        <v>1445</v>
      </c>
      <c r="C500" s="2">
        <v>19202101334</v>
      </c>
      <c r="D500" s="2">
        <v>2.5</v>
      </c>
      <c r="E500" s="226" t="s">
        <v>420</v>
      </c>
    </row>
    <row r="501" spans="1:5" x14ac:dyDescent="0.25">
      <c r="A501" s="2" t="s">
        <v>1439</v>
      </c>
      <c r="B501" s="2" t="s">
        <v>1445</v>
      </c>
      <c r="C501" s="2">
        <v>19202101450</v>
      </c>
      <c r="D501" s="2">
        <v>2.27</v>
      </c>
      <c r="E501" s="226" t="s">
        <v>420</v>
      </c>
    </row>
    <row r="502" spans="1:5" x14ac:dyDescent="0.25">
      <c r="A502" s="843" t="s">
        <v>1471</v>
      </c>
      <c r="B502" s="843" t="s">
        <v>1472</v>
      </c>
      <c r="C502" s="843">
        <v>19202101652</v>
      </c>
      <c r="D502" s="843">
        <v>3.2</v>
      </c>
      <c r="E502" s="225" t="s">
        <v>419</v>
      </c>
    </row>
    <row r="503" spans="1:5" x14ac:dyDescent="0.25">
      <c r="A503" s="843" t="s">
        <v>1473</v>
      </c>
      <c r="B503" s="843" t="s">
        <v>1472</v>
      </c>
      <c r="C503" s="843">
        <v>19202101661</v>
      </c>
      <c r="D503" s="843">
        <v>3.17</v>
      </c>
      <c r="E503" s="225" t="s">
        <v>419</v>
      </c>
    </row>
    <row r="504" spans="1:5" x14ac:dyDescent="0.25">
      <c r="A504" s="843" t="s">
        <v>1474</v>
      </c>
      <c r="B504" s="843" t="s">
        <v>1472</v>
      </c>
      <c r="C504" s="843">
        <v>19202101644</v>
      </c>
      <c r="D504" s="843">
        <v>3.15</v>
      </c>
      <c r="E504" s="225" t="s">
        <v>419</v>
      </c>
    </row>
    <row r="505" spans="1:5" x14ac:dyDescent="0.25">
      <c r="A505" s="843" t="s">
        <v>1475</v>
      </c>
      <c r="B505" s="843" t="s">
        <v>1472</v>
      </c>
      <c r="C505" s="843">
        <v>19202101645</v>
      </c>
      <c r="D505" s="843">
        <v>3.12</v>
      </c>
      <c r="E505" s="225" t="s">
        <v>419</v>
      </c>
    </row>
    <row r="506" spans="1:5" x14ac:dyDescent="0.25">
      <c r="A506" s="843" t="s">
        <v>1476</v>
      </c>
      <c r="B506" s="843" t="s">
        <v>1472</v>
      </c>
      <c r="C506" s="843">
        <v>19202101653</v>
      </c>
      <c r="D506" s="843">
        <v>3.07</v>
      </c>
      <c r="E506" s="225" t="s">
        <v>419</v>
      </c>
    </row>
    <row r="507" spans="1:5" x14ac:dyDescent="0.25">
      <c r="A507" s="843" t="s">
        <v>1477</v>
      </c>
      <c r="B507" s="843" t="s">
        <v>1472</v>
      </c>
      <c r="C507" s="843">
        <v>19202101655</v>
      </c>
      <c r="D507" s="843">
        <v>3.02</v>
      </c>
      <c r="E507" s="225" t="s">
        <v>419</v>
      </c>
    </row>
    <row r="508" spans="1:5" x14ac:dyDescent="0.25">
      <c r="A508" s="843" t="s">
        <v>1478</v>
      </c>
      <c r="B508" s="843" t="s">
        <v>1472</v>
      </c>
      <c r="C508" s="843">
        <v>19202101656</v>
      </c>
      <c r="D508" s="843">
        <v>2.69</v>
      </c>
      <c r="E508" s="225" t="s">
        <v>419</v>
      </c>
    </row>
    <row r="509" spans="1:5" x14ac:dyDescent="0.25">
      <c r="A509" s="843" t="s">
        <v>1482</v>
      </c>
      <c r="B509" s="843" t="s">
        <v>1479</v>
      </c>
      <c r="C509" s="843">
        <v>19202101658</v>
      </c>
      <c r="D509" s="843">
        <v>2.89</v>
      </c>
      <c r="E509" s="225" t="s">
        <v>419</v>
      </c>
    </row>
    <row r="510" spans="1:5" x14ac:dyDescent="0.25">
      <c r="A510" s="843" t="s">
        <v>1483</v>
      </c>
      <c r="B510" s="843" t="s">
        <v>1479</v>
      </c>
      <c r="C510" s="843">
        <v>19202101650</v>
      </c>
      <c r="D510" s="843">
        <v>2.86</v>
      </c>
      <c r="E510" s="225" t="s">
        <v>419</v>
      </c>
    </row>
    <row r="511" spans="1:5" x14ac:dyDescent="0.25">
      <c r="A511" s="843" t="s">
        <v>1484</v>
      </c>
      <c r="B511" s="843" t="s">
        <v>1480</v>
      </c>
      <c r="C511" s="843">
        <v>19202101657</v>
      </c>
      <c r="D511" s="843">
        <v>2.9</v>
      </c>
      <c r="E511" s="225" t="s">
        <v>419</v>
      </c>
    </row>
    <row r="512" spans="1:5" x14ac:dyDescent="0.25">
      <c r="A512" s="843" t="s">
        <v>1485</v>
      </c>
      <c r="B512" s="843" t="s">
        <v>1481</v>
      </c>
      <c r="C512" s="843">
        <v>19202101647</v>
      </c>
      <c r="D512" s="843">
        <v>3.42</v>
      </c>
      <c r="E512" s="225" t="s">
        <v>419</v>
      </c>
    </row>
    <row r="513" spans="1:5" x14ac:dyDescent="0.25">
      <c r="A513" s="843" t="s">
        <v>1486</v>
      </c>
      <c r="B513" s="843" t="s">
        <v>1481</v>
      </c>
      <c r="C513" s="843">
        <v>19202101662</v>
      </c>
      <c r="D513" s="843">
        <v>3.13</v>
      </c>
      <c r="E513" s="225" t="s">
        <v>419</v>
      </c>
    </row>
    <row r="514" spans="1:5" x14ac:dyDescent="0.25">
      <c r="A514" s="843" t="s">
        <v>1487</v>
      </c>
      <c r="B514" s="843" t="s">
        <v>1481</v>
      </c>
      <c r="C514" s="843">
        <v>19202101631</v>
      </c>
      <c r="D514" s="843">
        <v>3.05</v>
      </c>
      <c r="E514" s="225" t="s">
        <v>419</v>
      </c>
    </row>
    <row r="515" spans="1:5" x14ac:dyDescent="0.25">
      <c r="A515" s="843" t="s">
        <v>1488</v>
      </c>
      <c r="B515" s="843" t="s">
        <v>1481</v>
      </c>
      <c r="C515" s="843">
        <v>19202101643</v>
      </c>
      <c r="D515" s="843">
        <v>3.05</v>
      </c>
      <c r="E515" s="225" t="s">
        <v>419</v>
      </c>
    </row>
    <row r="516" spans="1:5" x14ac:dyDescent="0.25">
      <c r="A516" s="843" t="s">
        <v>1489</v>
      </c>
      <c r="B516" s="843" t="s">
        <v>1481</v>
      </c>
      <c r="C516" s="843">
        <v>19202101651</v>
      </c>
      <c r="D516" s="843">
        <v>3.04</v>
      </c>
      <c r="E516" s="225" t="s">
        <v>419</v>
      </c>
    </row>
    <row r="517" spans="1:5" x14ac:dyDescent="0.25">
      <c r="A517" s="843" t="s">
        <v>1490</v>
      </c>
      <c r="B517" s="843" t="s">
        <v>1481</v>
      </c>
      <c r="C517" s="843">
        <v>19202101664</v>
      </c>
      <c r="D517" s="843">
        <v>2.98</v>
      </c>
      <c r="E517" s="225" t="s">
        <v>419</v>
      </c>
    </row>
    <row r="518" spans="1:5" x14ac:dyDescent="0.25">
      <c r="A518" s="843" t="s">
        <v>1491</v>
      </c>
      <c r="B518" s="843" t="s">
        <v>1481</v>
      </c>
      <c r="C518" s="843">
        <v>19202101659</v>
      </c>
      <c r="D518" s="843">
        <v>2.86</v>
      </c>
      <c r="E518" s="225" t="s">
        <v>419</v>
      </c>
    </row>
    <row r="519" spans="1:5" x14ac:dyDescent="0.25">
      <c r="A519" s="843" t="s">
        <v>1493</v>
      </c>
      <c r="B519" s="843" t="s">
        <v>1492</v>
      </c>
      <c r="C519" s="843">
        <v>19202101646</v>
      </c>
      <c r="D519" s="843">
        <v>3.1</v>
      </c>
      <c r="E519" s="225" t="s">
        <v>419</v>
      </c>
    </row>
    <row r="520" spans="1:5" x14ac:dyDescent="0.25">
      <c r="A520" s="843" t="s">
        <v>1494</v>
      </c>
      <c r="B520" s="843" t="s">
        <v>1492</v>
      </c>
      <c r="C520" s="843">
        <v>19202101660</v>
      </c>
      <c r="D520" s="843">
        <v>3.09</v>
      </c>
      <c r="E520" s="225" t="s">
        <v>419</v>
      </c>
    </row>
    <row r="521" spans="1:5" x14ac:dyDescent="0.25">
      <c r="A521" s="843" t="s">
        <v>1495</v>
      </c>
      <c r="B521" s="843" t="s">
        <v>1492</v>
      </c>
      <c r="C521" s="843">
        <v>19202101663</v>
      </c>
      <c r="D521" s="843">
        <v>3.01</v>
      </c>
      <c r="E521" s="225" t="s">
        <v>419</v>
      </c>
    </row>
    <row r="522" spans="1:5" x14ac:dyDescent="0.25">
      <c r="A522" s="843" t="s">
        <v>1496</v>
      </c>
      <c r="B522" s="843" t="s">
        <v>1492</v>
      </c>
      <c r="C522" s="843">
        <v>19202101649</v>
      </c>
      <c r="D522" s="843">
        <v>2.96</v>
      </c>
      <c r="E522" s="225" t="s">
        <v>419</v>
      </c>
    </row>
    <row r="523" spans="1:5" x14ac:dyDescent="0.25">
      <c r="A523" s="843" t="s">
        <v>1497</v>
      </c>
      <c r="B523" s="843" t="s">
        <v>1492</v>
      </c>
      <c r="C523" s="843">
        <v>19202101667</v>
      </c>
      <c r="D523" s="843">
        <v>2.81</v>
      </c>
      <c r="E523" s="225" t="s">
        <v>419</v>
      </c>
    </row>
    <row r="524" spans="1:5" x14ac:dyDescent="0.25">
      <c r="A524" s="843" t="s">
        <v>1498</v>
      </c>
      <c r="B524" s="843" t="s">
        <v>1492</v>
      </c>
      <c r="C524" s="843">
        <v>19202101648</v>
      </c>
      <c r="D524" s="843">
        <v>2.63</v>
      </c>
      <c r="E524" s="225" t="s">
        <v>419</v>
      </c>
    </row>
    <row r="525" spans="1:5" x14ac:dyDescent="0.25">
      <c r="A525" s="646" t="s">
        <v>1562</v>
      </c>
      <c r="B525" s="843" t="s">
        <v>1481</v>
      </c>
      <c r="C525" s="829">
        <v>19202200285</v>
      </c>
      <c r="D525" s="829">
        <v>3.2909999999999999</v>
      </c>
      <c r="E525" s="225" t="s">
        <v>419</v>
      </c>
    </row>
    <row r="526" spans="1:5" x14ac:dyDescent="0.25">
      <c r="A526" s="646" t="s">
        <v>1562</v>
      </c>
      <c r="B526" s="843" t="s">
        <v>1481</v>
      </c>
      <c r="C526" s="829">
        <v>19202200301</v>
      </c>
      <c r="D526" s="829">
        <v>3.29</v>
      </c>
      <c r="E526" s="225" t="s">
        <v>419</v>
      </c>
    </row>
    <row r="527" spans="1:5" x14ac:dyDescent="0.25">
      <c r="A527" s="646" t="s">
        <v>1562</v>
      </c>
      <c r="B527" s="843" t="s">
        <v>1481</v>
      </c>
      <c r="C527" s="829">
        <v>19202200283</v>
      </c>
      <c r="D527" s="829">
        <v>3.246</v>
      </c>
      <c r="E527" s="225" t="s">
        <v>419</v>
      </c>
    </row>
    <row r="528" spans="1:5" x14ac:dyDescent="0.25">
      <c r="A528" s="646" t="s">
        <v>1562</v>
      </c>
      <c r="B528" s="843" t="s">
        <v>1481</v>
      </c>
      <c r="C528" s="829">
        <v>19202200302</v>
      </c>
      <c r="D528" s="829">
        <v>3.2320000000000002</v>
      </c>
      <c r="E528" s="225" t="s">
        <v>419</v>
      </c>
    </row>
    <row r="529" spans="1:5" x14ac:dyDescent="0.25">
      <c r="A529" s="646" t="s">
        <v>1562</v>
      </c>
      <c r="B529" s="843" t="s">
        <v>1481</v>
      </c>
      <c r="C529" s="829">
        <v>19202200304</v>
      </c>
      <c r="D529" s="829">
        <v>3.2029999999999998</v>
      </c>
      <c r="E529" s="225" t="s">
        <v>419</v>
      </c>
    </row>
    <row r="530" spans="1:5" x14ac:dyDescent="0.25">
      <c r="A530" s="646" t="s">
        <v>1562</v>
      </c>
      <c r="B530" s="843" t="s">
        <v>1481</v>
      </c>
      <c r="C530" s="829">
        <v>19202200280</v>
      </c>
      <c r="D530" s="829">
        <v>3.177</v>
      </c>
      <c r="E530" s="225" t="s">
        <v>419</v>
      </c>
    </row>
    <row r="531" spans="1:5" x14ac:dyDescent="0.25">
      <c r="A531" s="646" t="s">
        <v>1562</v>
      </c>
      <c r="B531" s="843" t="s">
        <v>1481</v>
      </c>
      <c r="C531" s="829">
        <v>19202200296</v>
      </c>
      <c r="D531" s="829">
        <v>3.1339999999999999</v>
      </c>
      <c r="E531" s="225" t="s">
        <v>419</v>
      </c>
    </row>
    <row r="532" spans="1:5" x14ac:dyDescent="0.25">
      <c r="A532" s="646" t="s">
        <v>1562</v>
      </c>
      <c r="B532" s="843" t="s">
        <v>1481</v>
      </c>
      <c r="C532" s="829">
        <v>19202200293</v>
      </c>
      <c r="D532" s="829">
        <v>3.0750000000000002</v>
      </c>
      <c r="E532" s="225" t="s">
        <v>419</v>
      </c>
    </row>
    <row r="533" spans="1:5" x14ac:dyDescent="0.25">
      <c r="A533" s="646" t="s">
        <v>1562</v>
      </c>
      <c r="B533" s="843" t="s">
        <v>1481</v>
      </c>
      <c r="C533" s="829">
        <v>19202200300</v>
      </c>
      <c r="D533" s="829">
        <v>3.0329999999999999</v>
      </c>
      <c r="E533" s="225" t="s">
        <v>419</v>
      </c>
    </row>
    <row r="534" spans="1:5" x14ac:dyDescent="0.25">
      <c r="A534" s="646" t="s">
        <v>1562</v>
      </c>
      <c r="B534" s="843" t="s">
        <v>1481</v>
      </c>
      <c r="C534" s="829">
        <v>19202200294</v>
      </c>
      <c r="D534" s="829">
        <v>3.02</v>
      </c>
      <c r="E534" s="225" t="s">
        <v>419</v>
      </c>
    </row>
    <row r="535" spans="1:5" x14ac:dyDescent="0.25">
      <c r="A535" s="646" t="s">
        <v>1562</v>
      </c>
      <c r="B535" s="843" t="s">
        <v>1481</v>
      </c>
      <c r="C535" s="829">
        <v>19202200288</v>
      </c>
      <c r="D535" s="829">
        <v>3.0179999999999998</v>
      </c>
      <c r="E535" s="225" t="s">
        <v>419</v>
      </c>
    </row>
    <row r="536" spans="1:5" x14ac:dyDescent="0.25">
      <c r="A536" s="646" t="s">
        <v>1562</v>
      </c>
      <c r="B536" s="843" t="s">
        <v>1481</v>
      </c>
      <c r="C536" s="829">
        <v>19202200291</v>
      </c>
      <c r="D536" s="829">
        <v>3.0070000000000001</v>
      </c>
      <c r="E536" s="845" t="s">
        <v>420</v>
      </c>
    </row>
    <row r="537" spans="1:5" x14ac:dyDescent="0.25">
      <c r="A537" s="646" t="s">
        <v>1562</v>
      </c>
      <c r="B537" s="843" t="s">
        <v>1481</v>
      </c>
      <c r="C537" s="829">
        <v>19202200281</v>
      </c>
      <c r="D537" s="829">
        <v>2.919</v>
      </c>
      <c r="E537" s="845" t="s">
        <v>420</v>
      </c>
    </row>
    <row r="538" spans="1:5" x14ac:dyDescent="0.25">
      <c r="A538" s="646" t="s">
        <v>1562</v>
      </c>
      <c r="B538" s="843" t="s">
        <v>1481</v>
      </c>
      <c r="C538" s="829">
        <v>19202200299</v>
      </c>
      <c r="D538" s="829">
        <v>2.891</v>
      </c>
      <c r="E538" s="845" t="s">
        <v>420</v>
      </c>
    </row>
    <row r="539" spans="1:5" x14ac:dyDescent="0.25">
      <c r="A539" s="646" t="s">
        <v>1562</v>
      </c>
      <c r="B539" s="843" t="s">
        <v>1481</v>
      </c>
      <c r="C539" s="829">
        <v>19202200292</v>
      </c>
      <c r="D539" s="829">
        <v>2.8889999999999998</v>
      </c>
      <c r="E539" s="845" t="s">
        <v>420</v>
      </c>
    </row>
    <row r="540" spans="1:5" x14ac:dyDescent="0.25">
      <c r="A540" s="646" t="s">
        <v>1562</v>
      </c>
      <c r="B540" s="843" t="s">
        <v>1481</v>
      </c>
      <c r="C540" s="829">
        <v>19202200286</v>
      </c>
      <c r="D540" s="829">
        <v>2.835</v>
      </c>
      <c r="E540" s="845" t="s">
        <v>420</v>
      </c>
    </row>
    <row r="541" spans="1:5" x14ac:dyDescent="0.25">
      <c r="A541" s="646" t="s">
        <v>1562</v>
      </c>
      <c r="B541" s="843" t="s">
        <v>1481</v>
      </c>
      <c r="C541" s="829">
        <v>19202200290</v>
      </c>
      <c r="D541" s="829">
        <v>2.6469999999999998</v>
      </c>
      <c r="E541" s="845" t="s">
        <v>420</v>
      </c>
    </row>
    <row r="542" spans="1:5" x14ac:dyDescent="0.25">
      <c r="A542" s="646" t="s">
        <v>1562</v>
      </c>
      <c r="B542" s="843" t="s">
        <v>1481</v>
      </c>
      <c r="C542" s="829">
        <v>19202200282</v>
      </c>
      <c r="D542" s="829">
        <v>2.5310000000000001</v>
      </c>
      <c r="E542" s="845" t="s">
        <v>420</v>
      </c>
    </row>
    <row r="543" spans="1:5" x14ac:dyDescent="0.25">
      <c r="A543" s="646" t="s">
        <v>1562</v>
      </c>
      <c r="B543" s="843" t="s">
        <v>1492</v>
      </c>
      <c r="C543" s="829">
        <v>19202200279</v>
      </c>
      <c r="D543" s="829">
        <v>3.0089999999999999</v>
      </c>
      <c r="E543" s="225" t="s">
        <v>419</v>
      </c>
    </row>
    <row r="544" spans="1:5" x14ac:dyDescent="0.25">
      <c r="A544" s="646" t="s">
        <v>1562</v>
      </c>
      <c r="B544" s="843" t="s">
        <v>1492</v>
      </c>
      <c r="C544" s="829">
        <v>19202200306</v>
      </c>
      <c r="D544" s="829">
        <v>3.0070000000000001</v>
      </c>
      <c r="E544" s="225" t="s">
        <v>419</v>
      </c>
    </row>
    <row r="545" spans="1:5" x14ac:dyDescent="0.25">
      <c r="A545" s="646" t="s">
        <v>1562</v>
      </c>
      <c r="B545" s="843" t="s">
        <v>1492</v>
      </c>
      <c r="C545" s="829">
        <v>19202200289</v>
      </c>
      <c r="D545" s="829">
        <v>2.99</v>
      </c>
      <c r="E545" s="225" t="s">
        <v>419</v>
      </c>
    </row>
    <row r="546" spans="1:5" x14ac:dyDescent="0.25">
      <c r="A546" s="646" t="s">
        <v>1562</v>
      </c>
      <c r="B546" s="843" t="s">
        <v>1492</v>
      </c>
      <c r="C546" s="829">
        <v>19202200284</v>
      </c>
      <c r="D546" s="829">
        <v>2.8460000000000001</v>
      </c>
      <c r="E546" s="845" t="s">
        <v>420</v>
      </c>
    </row>
    <row r="547" spans="1:5" x14ac:dyDescent="0.25">
      <c r="A547" s="646" t="s">
        <v>1562</v>
      </c>
      <c r="B547" s="843" t="s">
        <v>1492</v>
      </c>
      <c r="C547" s="829">
        <v>19202200295</v>
      </c>
      <c r="D547" s="829">
        <v>2.831</v>
      </c>
      <c r="E547" s="845" t="s">
        <v>420</v>
      </c>
    </row>
    <row r="548" spans="1:5" x14ac:dyDescent="0.25">
      <c r="A548" s="646" t="s">
        <v>1562</v>
      </c>
      <c r="B548" s="843" t="s">
        <v>1492</v>
      </c>
      <c r="C548" s="829">
        <v>19202200303</v>
      </c>
      <c r="D548" s="829">
        <v>2.8250000000000002</v>
      </c>
      <c r="E548" s="845" t="s">
        <v>420</v>
      </c>
    </row>
    <row r="549" spans="1:5" x14ac:dyDescent="0.25">
      <c r="C549" s="829"/>
      <c r="D549" s="829"/>
    </row>
    <row r="550" spans="1:5" x14ac:dyDescent="0.25">
      <c r="C550" s="829"/>
      <c r="D550" s="829"/>
    </row>
    <row r="551" spans="1:5" x14ac:dyDescent="0.25">
      <c r="C551" s="829"/>
      <c r="D551" s="829"/>
    </row>
    <row r="552" spans="1:5" x14ac:dyDescent="0.25">
      <c r="C552" s="829"/>
      <c r="D552" s="829"/>
    </row>
    <row r="553" spans="1:5" x14ac:dyDescent="0.25">
      <c r="C553" s="829"/>
      <c r="D553" s="829"/>
    </row>
    <row r="554" spans="1:5" x14ac:dyDescent="0.25">
      <c r="C554" s="829"/>
      <c r="D554" s="829"/>
    </row>
    <row r="555" spans="1:5" x14ac:dyDescent="0.25">
      <c r="C555" s="829"/>
      <c r="D555" s="829"/>
    </row>
    <row r="556" spans="1:5" x14ac:dyDescent="0.25">
      <c r="C556" s="829"/>
      <c r="D556" s="829"/>
    </row>
    <row r="557" spans="1:5" x14ac:dyDescent="0.25">
      <c r="C557" s="829"/>
      <c r="D557" s="829"/>
    </row>
    <row r="558" spans="1:5" x14ac:dyDescent="0.25">
      <c r="C558" s="829"/>
      <c r="D558" s="829"/>
    </row>
    <row r="559" spans="1:5" x14ac:dyDescent="0.25">
      <c r="C559" s="829"/>
      <c r="D559" s="829"/>
    </row>
    <row r="560" spans="1:5" x14ac:dyDescent="0.25">
      <c r="C560" s="829"/>
      <c r="D560" s="829"/>
    </row>
    <row r="561" spans="3:4" x14ac:dyDescent="0.25">
      <c r="C561" s="829"/>
      <c r="D561" s="829"/>
    </row>
    <row r="562" spans="3:4" x14ac:dyDescent="0.25">
      <c r="C562" s="829"/>
      <c r="D562" s="829"/>
    </row>
    <row r="563" spans="3:4" x14ac:dyDescent="0.25">
      <c r="C563" s="829"/>
      <c r="D563" s="829"/>
    </row>
    <row r="564" spans="3:4" x14ac:dyDescent="0.25">
      <c r="C564" s="829"/>
      <c r="D564" s="829"/>
    </row>
  </sheetData>
  <sortState ref="A6:D47">
    <sortCondition descending="1" ref="D6:D47"/>
  </sortState>
  <mergeCells count="1">
    <mergeCell ref="A1:E1"/>
  </mergeCells>
  <pageMargins left="0.7" right="0.7" top="0.75" bottom="0.75" header="0.3" footer="0.3"/>
  <ignoredErrors>
    <ignoredError sqref="C35:C110 C3:C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5"/>
  <sheetViews>
    <sheetView workbookViewId="0">
      <pane ySplit="2" topLeftCell="A339" activePane="bottomLeft" state="frozen"/>
      <selection pane="bottomLeft" activeCell="L354" sqref="L354"/>
    </sheetView>
  </sheetViews>
  <sheetFormatPr defaultRowHeight="15" x14ac:dyDescent="0.25"/>
  <cols>
    <col min="1" max="1" width="21.5703125" customWidth="1"/>
    <col min="2" max="2" width="71.5703125" customWidth="1"/>
    <col min="3" max="3" width="25.42578125" customWidth="1"/>
    <col min="4" max="4" width="11.140625" customWidth="1"/>
    <col min="5" max="5" width="18.85546875" customWidth="1"/>
    <col min="6" max="6" width="14.42578125" customWidth="1"/>
  </cols>
  <sheetData>
    <row r="1" spans="1:6" ht="16.5" thickBot="1" x14ac:dyDescent="0.3">
      <c r="A1" s="850" t="s">
        <v>18</v>
      </c>
      <c r="B1" s="851"/>
      <c r="C1" s="851"/>
      <c r="D1" s="851"/>
      <c r="E1" s="851"/>
      <c r="F1" s="408"/>
    </row>
    <row r="2" spans="1:6" ht="15.75" thickBot="1" x14ac:dyDescent="0.3">
      <c r="A2" s="409" t="s">
        <v>6</v>
      </c>
      <c r="B2" s="410" t="s">
        <v>2</v>
      </c>
      <c r="C2" s="411" t="s">
        <v>0</v>
      </c>
      <c r="D2" s="412" t="s">
        <v>1</v>
      </c>
      <c r="E2" s="412" t="s">
        <v>464</v>
      </c>
      <c r="F2" s="413" t="s">
        <v>577</v>
      </c>
    </row>
    <row r="3" spans="1:6" x14ac:dyDescent="0.25">
      <c r="A3" s="142" t="s">
        <v>315</v>
      </c>
      <c r="B3" s="115" t="s">
        <v>316</v>
      </c>
      <c r="C3" s="48" t="s">
        <v>319</v>
      </c>
      <c r="D3" s="38">
        <v>84.8</v>
      </c>
      <c r="E3" s="213" t="s">
        <v>419</v>
      </c>
      <c r="F3" s="284" t="s">
        <v>578</v>
      </c>
    </row>
    <row r="4" spans="1:6" x14ac:dyDescent="0.25">
      <c r="A4" s="143" t="s">
        <v>315</v>
      </c>
      <c r="B4" s="23" t="s">
        <v>316</v>
      </c>
      <c r="C4" s="5" t="s">
        <v>320</v>
      </c>
      <c r="D4" s="9">
        <v>82.8</v>
      </c>
      <c r="E4" s="214" t="s">
        <v>419</v>
      </c>
      <c r="F4" s="285" t="s">
        <v>579</v>
      </c>
    </row>
    <row r="5" spans="1:6" x14ac:dyDescent="0.25">
      <c r="A5" s="143" t="s">
        <v>315</v>
      </c>
      <c r="B5" s="23" t="s">
        <v>316</v>
      </c>
      <c r="C5" s="5" t="s">
        <v>321</v>
      </c>
      <c r="D5" s="9">
        <v>82.6</v>
      </c>
      <c r="E5" s="214" t="s">
        <v>419</v>
      </c>
      <c r="F5" s="285" t="s">
        <v>580</v>
      </c>
    </row>
    <row r="6" spans="1:6" x14ac:dyDescent="0.25">
      <c r="A6" s="143" t="s">
        <v>315</v>
      </c>
      <c r="B6" s="23" t="s">
        <v>316</v>
      </c>
      <c r="C6" s="5" t="s">
        <v>318</v>
      </c>
      <c r="D6" s="9">
        <v>81.8</v>
      </c>
      <c r="E6" s="214" t="s">
        <v>419</v>
      </c>
      <c r="F6" s="285" t="s">
        <v>581</v>
      </c>
    </row>
    <row r="7" spans="1:6" x14ac:dyDescent="0.25">
      <c r="A7" s="143" t="s">
        <v>315</v>
      </c>
      <c r="B7" s="23" t="s">
        <v>316</v>
      </c>
      <c r="C7" s="5" t="s">
        <v>322</v>
      </c>
      <c r="D7" s="9">
        <v>80.599999999999994</v>
      </c>
      <c r="E7" s="218" t="s">
        <v>420</v>
      </c>
      <c r="F7" s="285" t="s">
        <v>582</v>
      </c>
    </row>
    <row r="8" spans="1:6" x14ac:dyDescent="0.25">
      <c r="A8" s="143" t="s">
        <v>315</v>
      </c>
      <c r="B8" s="23" t="s">
        <v>316</v>
      </c>
      <c r="C8" s="5" t="s">
        <v>323</v>
      </c>
      <c r="D8" s="9">
        <v>79</v>
      </c>
      <c r="E8" s="218" t="s">
        <v>420</v>
      </c>
      <c r="F8" s="285" t="s">
        <v>583</v>
      </c>
    </row>
    <row r="9" spans="1:6" x14ac:dyDescent="0.25">
      <c r="A9" s="143" t="s">
        <v>315</v>
      </c>
      <c r="B9" s="23" t="s">
        <v>316</v>
      </c>
      <c r="C9" s="5" t="s">
        <v>324</v>
      </c>
      <c r="D9" s="9">
        <v>77</v>
      </c>
      <c r="E9" s="218" t="s">
        <v>420</v>
      </c>
      <c r="F9" s="285" t="s">
        <v>584</v>
      </c>
    </row>
    <row r="10" spans="1:6" x14ac:dyDescent="0.25">
      <c r="A10" s="143" t="s">
        <v>315</v>
      </c>
      <c r="B10" s="23" t="s">
        <v>316</v>
      </c>
      <c r="C10" s="5" t="s">
        <v>325</v>
      </c>
      <c r="D10" s="9">
        <v>74.2</v>
      </c>
      <c r="E10" s="218" t="s">
        <v>420</v>
      </c>
      <c r="F10" s="285" t="s">
        <v>585</v>
      </c>
    </row>
    <row r="11" spans="1:6" x14ac:dyDescent="0.25">
      <c r="A11" s="143" t="s">
        <v>315</v>
      </c>
      <c r="B11" s="23" t="s">
        <v>316</v>
      </c>
      <c r="C11" s="5" t="s">
        <v>326</v>
      </c>
      <c r="D11" s="9">
        <v>73.400000000000006</v>
      </c>
      <c r="E11" s="218" t="s">
        <v>420</v>
      </c>
      <c r="F11" s="285" t="s">
        <v>586</v>
      </c>
    </row>
    <row r="12" spans="1:6" x14ac:dyDescent="0.25">
      <c r="A12" s="143" t="s">
        <v>315</v>
      </c>
      <c r="B12" s="23" t="s">
        <v>316</v>
      </c>
      <c r="C12" s="5" t="s">
        <v>327</v>
      </c>
      <c r="D12" s="9">
        <v>73.2</v>
      </c>
      <c r="E12" s="218" t="s">
        <v>420</v>
      </c>
      <c r="F12" s="285" t="s">
        <v>587</v>
      </c>
    </row>
    <row r="13" spans="1:6" x14ac:dyDescent="0.25">
      <c r="A13" s="143" t="s">
        <v>315</v>
      </c>
      <c r="B13" s="23" t="s">
        <v>316</v>
      </c>
      <c r="C13" s="5" t="s">
        <v>317</v>
      </c>
      <c r="D13" s="9">
        <v>71.8</v>
      </c>
      <c r="E13" s="218" t="s">
        <v>420</v>
      </c>
      <c r="F13" s="285" t="s">
        <v>588</v>
      </c>
    </row>
    <row r="14" spans="1:6" x14ac:dyDescent="0.25">
      <c r="A14" s="143" t="s">
        <v>315</v>
      </c>
      <c r="B14" s="23" t="s">
        <v>316</v>
      </c>
      <c r="C14" s="5" t="s">
        <v>328</v>
      </c>
      <c r="D14" s="9">
        <v>70.400000000000006</v>
      </c>
      <c r="E14" s="218" t="s">
        <v>420</v>
      </c>
      <c r="F14" s="285" t="s">
        <v>589</v>
      </c>
    </row>
    <row r="15" spans="1:6" x14ac:dyDescent="0.25">
      <c r="A15" s="143" t="s">
        <v>315</v>
      </c>
      <c r="B15" s="23" t="s">
        <v>316</v>
      </c>
      <c r="C15" s="5" t="s">
        <v>329</v>
      </c>
      <c r="D15" s="9">
        <v>68.8</v>
      </c>
      <c r="E15" s="218" t="s">
        <v>420</v>
      </c>
      <c r="F15" s="285" t="s">
        <v>590</v>
      </c>
    </row>
    <row r="16" spans="1:6" x14ac:dyDescent="0.25">
      <c r="A16" s="143" t="s">
        <v>315</v>
      </c>
      <c r="B16" s="23" t="s">
        <v>316</v>
      </c>
      <c r="C16" s="5" t="s">
        <v>330</v>
      </c>
      <c r="D16" s="9">
        <v>68.599999999999994</v>
      </c>
      <c r="E16" s="218" t="s">
        <v>420</v>
      </c>
      <c r="F16" s="285" t="s">
        <v>591</v>
      </c>
    </row>
    <row r="17" spans="1:6" x14ac:dyDescent="0.25">
      <c r="A17" s="143" t="s">
        <v>315</v>
      </c>
      <c r="B17" s="23" t="s">
        <v>316</v>
      </c>
      <c r="C17" s="5" t="s">
        <v>331</v>
      </c>
      <c r="D17" s="9">
        <v>65.2</v>
      </c>
      <c r="E17" s="218" t="s">
        <v>420</v>
      </c>
      <c r="F17" s="285" t="s">
        <v>592</v>
      </c>
    </row>
    <row r="18" spans="1:6" ht="15.75" thickBot="1" x14ac:dyDescent="0.3">
      <c r="A18" s="144" t="s">
        <v>315</v>
      </c>
      <c r="B18" s="116" t="s">
        <v>316</v>
      </c>
      <c r="C18" s="44" t="s">
        <v>332</v>
      </c>
      <c r="D18" s="45">
        <v>64.599999999999994</v>
      </c>
      <c r="E18" s="219" t="s">
        <v>420</v>
      </c>
      <c r="F18" s="286" t="s">
        <v>593</v>
      </c>
    </row>
    <row r="19" spans="1:6" x14ac:dyDescent="0.25">
      <c r="A19" s="142" t="s">
        <v>315</v>
      </c>
      <c r="B19" s="115" t="s">
        <v>333</v>
      </c>
      <c r="C19" s="48" t="s">
        <v>334</v>
      </c>
      <c r="D19" s="38">
        <v>85</v>
      </c>
      <c r="E19" s="213" t="s">
        <v>419</v>
      </c>
      <c r="F19" s="284" t="s">
        <v>578</v>
      </c>
    </row>
    <row r="20" spans="1:6" x14ac:dyDescent="0.25">
      <c r="A20" s="143" t="s">
        <v>315</v>
      </c>
      <c r="B20" s="23" t="s">
        <v>333</v>
      </c>
      <c r="C20" s="5" t="s">
        <v>335</v>
      </c>
      <c r="D20" s="9">
        <v>84.17</v>
      </c>
      <c r="E20" s="214" t="s">
        <v>419</v>
      </c>
      <c r="F20" s="285" t="s">
        <v>579</v>
      </c>
    </row>
    <row r="21" spans="1:6" x14ac:dyDescent="0.25">
      <c r="A21" s="143" t="s">
        <v>315</v>
      </c>
      <c r="B21" s="23" t="s">
        <v>333</v>
      </c>
      <c r="C21" s="5" t="s">
        <v>336</v>
      </c>
      <c r="D21" s="9">
        <v>81</v>
      </c>
      <c r="E21" s="214" t="s">
        <v>419</v>
      </c>
      <c r="F21" s="285" t="s">
        <v>580</v>
      </c>
    </row>
    <row r="22" spans="1:6" x14ac:dyDescent="0.25">
      <c r="A22" s="143" t="s">
        <v>315</v>
      </c>
      <c r="B22" s="23" t="s">
        <v>333</v>
      </c>
      <c r="C22" s="5" t="s">
        <v>337</v>
      </c>
      <c r="D22" s="9">
        <v>71</v>
      </c>
      <c r="E22" s="218" t="s">
        <v>420</v>
      </c>
      <c r="F22" s="285" t="s">
        <v>581</v>
      </c>
    </row>
    <row r="23" spans="1:6" x14ac:dyDescent="0.25">
      <c r="A23" s="143" t="s">
        <v>315</v>
      </c>
      <c r="B23" s="23" t="s">
        <v>333</v>
      </c>
      <c r="C23" s="5" t="s">
        <v>338</v>
      </c>
      <c r="D23" s="9">
        <v>69.67</v>
      </c>
      <c r="E23" s="218" t="s">
        <v>420</v>
      </c>
      <c r="F23" s="285" t="s">
        <v>582</v>
      </c>
    </row>
    <row r="24" spans="1:6" x14ac:dyDescent="0.25">
      <c r="A24" s="143" t="s">
        <v>315</v>
      </c>
      <c r="B24" s="23" t="s">
        <v>333</v>
      </c>
      <c r="C24" s="5" t="s">
        <v>339</v>
      </c>
      <c r="D24" s="9">
        <v>67.5</v>
      </c>
      <c r="E24" s="218" t="s">
        <v>420</v>
      </c>
      <c r="F24" s="285" t="s">
        <v>583</v>
      </c>
    </row>
    <row r="25" spans="1:6" ht="15.75" thickBot="1" x14ac:dyDescent="0.3">
      <c r="A25" s="144" t="s">
        <v>315</v>
      </c>
      <c r="B25" s="116" t="s">
        <v>333</v>
      </c>
      <c r="C25" s="44" t="s">
        <v>340</v>
      </c>
      <c r="D25" s="45">
        <v>58.33</v>
      </c>
      <c r="E25" s="219" t="s">
        <v>420</v>
      </c>
      <c r="F25" s="286" t="s">
        <v>584</v>
      </c>
    </row>
    <row r="26" spans="1:6" x14ac:dyDescent="0.25">
      <c r="A26" s="142" t="s">
        <v>315</v>
      </c>
      <c r="B26" s="115" t="s">
        <v>341</v>
      </c>
      <c r="C26" s="48" t="str">
        <f>"619216510502"</f>
        <v>619216510502</v>
      </c>
      <c r="D26" s="98">
        <v>73.5</v>
      </c>
      <c r="E26" s="213" t="s">
        <v>419</v>
      </c>
      <c r="F26" s="284" t="s">
        <v>578</v>
      </c>
    </row>
    <row r="27" spans="1:6" x14ac:dyDescent="0.25">
      <c r="A27" s="143" t="s">
        <v>315</v>
      </c>
      <c r="B27" s="23" t="s">
        <v>341</v>
      </c>
      <c r="C27" s="5" t="str">
        <f>"619216510503"</f>
        <v>619216510503</v>
      </c>
      <c r="D27" s="15">
        <v>72.83</v>
      </c>
      <c r="E27" s="214" t="s">
        <v>419</v>
      </c>
      <c r="F27" s="285" t="s">
        <v>579</v>
      </c>
    </row>
    <row r="28" spans="1:6" ht="15.75" thickBot="1" x14ac:dyDescent="0.3">
      <c r="A28" s="144" t="s">
        <v>315</v>
      </c>
      <c r="B28" s="116" t="s">
        <v>341</v>
      </c>
      <c r="C28" s="44" t="str">
        <f>"619216510539"</f>
        <v>619216510539</v>
      </c>
      <c r="D28" s="97">
        <v>50</v>
      </c>
      <c r="E28" s="219" t="s">
        <v>420</v>
      </c>
      <c r="F28" s="286" t="s">
        <v>580</v>
      </c>
    </row>
    <row r="29" spans="1:6" x14ac:dyDescent="0.25">
      <c r="A29" s="142" t="s">
        <v>315</v>
      </c>
      <c r="B29" s="115" t="s">
        <v>342</v>
      </c>
      <c r="C29" s="48" t="s">
        <v>343</v>
      </c>
      <c r="D29" s="38">
        <v>67.17</v>
      </c>
      <c r="E29" s="213" t="s">
        <v>419</v>
      </c>
      <c r="F29" s="284" t="s">
        <v>578</v>
      </c>
    </row>
    <row r="30" spans="1:6" x14ac:dyDescent="0.25">
      <c r="A30" s="143" t="s">
        <v>315</v>
      </c>
      <c r="B30" s="23" t="s">
        <v>342</v>
      </c>
      <c r="C30" s="5" t="s">
        <v>344</v>
      </c>
      <c r="D30" s="9">
        <v>65</v>
      </c>
      <c r="E30" s="214" t="s">
        <v>419</v>
      </c>
      <c r="F30" s="285" t="s">
        <v>579</v>
      </c>
    </row>
    <row r="31" spans="1:6" x14ac:dyDescent="0.25">
      <c r="A31" s="143" t="s">
        <v>315</v>
      </c>
      <c r="B31" s="23" t="s">
        <v>342</v>
      </c>
      <c r="C31" s="5" t="s">
        <v>345</v>
      </c>
      <c r="D31" s="9">
        <v>64</v>
      </c>
      <c r="E31" s="214" t="s">
        <v>419</v>
      </c>
      <c r="F31" s="285" t="s">
        <v>580</v>
      </c>
    </row>
    <row r="32" spans="1:6" x14ac:dyDescent="0.25">
      <c r="A32" s="143" t="s">
        <v>315</v>
      </c>
      <c r="B32" s="23" t="s">
        <v>342</v>
      </c>
      <c r="C32" s="5" t="s">
        <v>346</v>
      </c>
      <c r="D32" s="9">
        <v>61.83</v>
      </c>
      <c r="E32" s="214" t="s">
        <v>419</v>
      </c>
      <c r="F32" s="285" t="s">
        <v>581</v>
      </c>
    </row>
    <row r="33" spans="1:6" x14ac:dyDescent="0.25">
      <c r="A33" s="143" t="s">
        <v>315</v>
      </c>
      <c r="B33" s="23" t="s">
        <v>342</v>
      </c>
      <c r="C33" s="5" t="s">
        <v>347</v>
      </c>
      <c r="D33" s="9">
        <v>61.67</v>
      </c>
      <c r="E33" s="214" t="s">
        <v>419</v>
      </c>
      <c r="F33" s="285" t="s">
        <v>582</v>
      </c>
    </row>
    <row r="34" spans="1:6" x14ac:dyDescent="0.25">
      <c r="A34" s="143" t="s">
        <v>315</v>
      </c>
      <c r="B34" s="23" t="s">
        <v>342</v>
      </c>
      <c r="C34" s="5" t="s">
        <v>348</v>
      </c>
      <c r="D34" s="9">
        <v>60.83</v>
      </c>
      <c r="E34" s="218" t="s">
        <v>420</v>
      </c>
      <c r="F34" s="285" t="s">
        <v>583</v>
      </c>
    </row>
    <row r="35" spans="1:6" x14ac:dyDescent="0.25">
      <c r="A35" s="143" t="s">
        <v>315</v>
      </c>
      <c r="B35" s="23" t="s">
        <v>342</v>
      </c>
      <c r="C35" s="5" t="s">
        <v>349</v>
      </c>
      <c r="D35" s="9">
        <v>59.83</v>
      </c>
      <c r="E35" s="214" t="s">
        <v>419</v>
      </c>
      <c r="F35" s="285" t="s">
        <v>584</v>
      </c>
    </row>
    <row r="36" spans="1:6" x14ac:dyDescent="0.25">
      <c r="A36" s="143" t="s">
        <v>315</v>
      </c>
      <c r="B36" s="23" t="s">
        <v>342</v>
      </c>
      <c r="C36" s="5" t="s">
        <v>350</v>
      </c>
      <c r="D36" s="9">
        <v>57.5</v>
      </c>
      <c r="E36" s="218" t="s">
        <v>420</v>
      </c>
      <c r="F36" s="285" t="s">
        <v>585</v>
      </c>
    </row>
    <row r="37" spans="1:6" x14ac:dyDescent="0.25">
      <c r="A37" s="143" t="s">
        <v>315</v>
      </c>
      <c r="B37" s="23" t="s">
        <v>342</v>
      </c>
      <c r="C37" s="5" t="s">
        <v>351</v>
      </c>
      <c r="D37" s="9">
        <v>55.67</v>
      </c>
      <c r="E37" s="218" t="s">
        <v>420</v>
      </c>
      <c r="F37" s="285" t="s">
        <v>586</v>
      </c>
    </row>
    <row r="38" spans="1:6" x14ac:dyDescent="0.25">
      <c r="A38" s="143" t="s">
        <v>315</v>
      </c>
      <c r="B38" s="23" t="s">
        <v>342</v>
      </c>
      <c r="C38" s="5" t="s">
        <v>352</v>
      </c>
      <c r="D38" s="9">
        <v>52.83</v>
      </c>
      <c r="E38" s="218" t="s">
        <v>420</v>
      </c>
      <c r="F38" s="285" t="s">
        <v>587</v>
      </c>
    </row>
    <row r="39" spans="1:6" x14ac:dyDescent="0.25">
      <c r="A39" s="143" t="s">
        <v>315</v>
      </c>
      <c r="B39" s="23" t="s">
        <v>342</v>
      </c>
      <c r="C39" s="5" t="s">
        <v>353</v>
      </c>
      <c r="D39" s="9">
        <v>52.67</v>
      </c>
      <c r="E39" s="218" t="s">
        <v>420</v>
      </c>
      <c r="F39" s="285" t="s">
        <v>588</v>
      </c>
    </row>
    <row r="40" spans="1:6" x14ac:dyDescent="0.25">
      <c r="A40" s="143" t="s">
        <v>315</v>
      </c>
      <c r="B40" s="23" t="s">
        <v>342</v>
      </c>
      <c r="C40" s="5" t="s">
        <v>354</v>
      </c>
      <c r="D40" s="9">
        <v>52.67</v>
      </c>
      <c r="E40" s="218" t="s">
        <v>420</v>
      </c>
      <c r="F40" s="285" t="s">
        <v>589</v>
      </c>
    </row>
    <row r="41" spans="1:6" x14ac:dyDescent="0.25">
      <c r="A41" s="143" t="s">
        <v>315</v>
      </c>
      <c r="B41" s="23" t="s">
        <v>342</v>
      </c>
      <c r="C41" s="5" t="s">
        <v>355</v>
      </c>
      <c r="D41" s="9">
        <v>50.5</v>
      </c>
      <c r="E41" s="218" t="s">
        <v>420</v>
      </c>
      <c r="F41" s="285" t="s">
        <v>590</v>
      </c>
    </row>
    <row r="42" spans="1:6" x14ac:dyDescent="0.25">
      <c r="A42" s="143" t="s">
        <v>315</v>
      </c>
      <c r="B42" s="23" t="s">
        <v>342</v>
      </c>
      <c r="C42" s="5" t="s">
        <v>356</v>
      </c>
      <c r="D42" s="9">
        <v>49.17</v>
      </c>
      <c r="E42" s="218" t="s">
        <v>420</v>
      </c>
      <c r="F42" s="285" t="s">
        <v>591</v>
      </c>
    </row>
    <row r="43" spans="1:6" x14ac:dyDescent="0.25">
      <c r="A43" s="143" t="s">
        <v>315</v>
      </c>
      <c r="B43" s="23" t="s">
        <v>342</v>
      </c>
      <c r="C43" s="5" t="s">
        <v>357</v>
      </c>
      <c r="D43" s="9">
        <v>48.67</v>
      </c>
      <c r="E43" s="218" t="s">
        <v>420</v>
      </c>
      <c r="F43" s="285" t="s">
        <v>592</v>
      </c>
    </row>
    <row r="44" spans="1:6" x14ac:dyDescent="0.25">
      <c r="A44" s="143" t="s">
        <v>315</v>
      </c>
      <c r="B44" s="23" t="s">
        <v>342</v>
      </c>
      <c r="C44" s="5" t="s">
        <v>358</v>
      </c>
      <c r="D44" s="9">
        <v>47.17</v>
      </c>
      <c r="E44" s="218" t="s">
        <v>420</v>
      </c>
      <c r="F44" s="285" t="s">
        <v>593</v>
      </c>
    </row>
    <row r="45" spans="1:6" x14ac:dyDescent="0.25">
      <c r="A45" s="143" t="s">
        <v>315</v>
      </c>
      <c r="B45" s="23" t="s">
        <v>342</v>
      </c>
      <c r="C45" s="5" t="s">
        <v>359</v>
      </c>
      <c r="D45" s="9">
        <v>43.33</v>
      </c>
      <c r="E45" s="218" t="s">
        <v>420</v>
      </c>
      <c r="F45" s="285" t="s">
        <v>594</v>
      </c>
    </row>
    <row r="46" spans="1:6" x14ac:dyDescent="0.25">
      <c r="A46" s="143" t="s">
        <v>315</v>
      </c>
      <c r="B46" s="23" t="s">
        <v>342</v>
      </c>
      <c r="C46" s="5" t="s">
        <v>360</v>
      </c>
      <c r="D46" s="9">
        <v>42.5</v>
      </c>
      <c r="E46" s="218" t="s">
        <v>420</v>
      </c>
      <c r="F46" s="285" t="s">
        <v>595</v>
      </c>
    </row>
    <row r="47" spans="1:6" x14ac:dyDescent="0.25">
      <c r="A47" s="143" t="s">
        <v>315</v>
      </c>
      <c r="B47" s="23" t="s">
        <v>342</v>
      </c>
      <c r="C47" s="5" t="s">
        <v>361</v>
      </c>
      <c r="D47" s="9">
        <v>40.17</v>
      </c>
      <c r="E47" s="218" t="s">
        <v>420</v>
      </c>
      <c r="F47" s="285" t="s">
        <v>596</v>
      </c>
    </row>
    <row r="48" spans="1:6" x14ac:dyDescent="0.25">
      <c r="A48" s="143" t="s">
        <v>315</v>
      </c>
      <c r="B48" s="23" t="s">
        <v>342</v>
      </c>
      <c r="C48" s="5" t="s">
        <v>362</v>
      </c>
      <c r="D48" s="9">
        <v>38.33</v>
      </c>
      <c r="E48" s="218" t="s">
        <v>420</v>
      </c>
      <c r="F48" s="285" t="s">
        <v>597</v>
      </c>
    </row>
    <row r="49" spans="1:6" ht="15.75" thickBot="1" x14ac:dyDescent="0.3">
      <c r="A49" s="144" t="s">
        <v>315</v>
      </c>
      <c r="B49" s="116" t="s">
        <v>342</v>
      </c>
      <c r="C49" s="44" t="s">
        <v>363</v>
      </c>
      <c r="D49" s="45">
        <v>37.33</v>
      </c>
      <c r="E49" s="219" t="s">
        <v>420</v>
      </c>
      <c r="F49" s="286" t="s">
        <v>598</v>
      </c>
    </row>
    <row r="50" spans="1:6" x14ac:dyDescent="0.25">
      <c r="A50" s="142" t="s">
        <v>315</v>
      </c>
      <c r="B50" s="115" t="s">
        <v>364</v>
      </c>
      <c r="C50" s="48" t="str">
        <f>"619216510511"</f>
        <v>619216510511</v>
      </c>
      <c r="D50" s="98">
        <v>77.83</v>
      </c>
      <c r="E50" s="213" t="s">
        <v>419</v>
      </c>
      <c r="F50" s="284" t="s">
        <v>578</v>
      </c>
    </row>
    <row r="51" spans="1:6" x14ac:dyDescent="0.25">
      <c r="A51" s="143" t="s">
        <v>315</v>
      </c>
      <c r="B51" s="23" t="s">
        <v>364</v>
      </c>
      <c r="C51" s="5" t="str">
        <f>"619216510512"</f>
        <v>619216510512</v>
      </c>
      <c r="D51" s="15">
        <v>71.5</v>
      </c>
      <c r="E51" s="214" t="s">
        <v>419</v>
      </c>
      <c r="F51" s="285" t="s">
        <v>579</v>
      </c>
    </row>
    <row r="52" spans="1:6" ht="15.75" thickBot="1" x14ac:dyDescent="0.3">
      <c r="A52" s="144" t="s">
        <v>315</v>
      </c>
      <c r="B52" s="116" t="s">
        <v>364</v>
      </c>
      <c r="C52" s="44" t="str">
        <f>"619216510513"</f>
        <v>619216510513</v>
      </c>
      <c r="D52" s="97">
        <v>69.83</v>
      </c>
      <c r="E52" s="215" t="s">
        <v>419</v>
      </c>
      <c r="F52" s="286" t="s">
        <v>580</v>
      </c>
    </row>
    <row r="53" spans="1:6" x14ac:dyDescent="0.25">
      <c r="A53" s="142" t="s">
        <v>315</v>
      </c>
      <c r="B53" s="115" t="s">
        <v>365</v>
      </c>
      <c r="C53" s="48" t="s">
        <v>366</v>
      </c>
      <c r="D53" s="49">
        <v>82.67</v>
      </c>
      <c r="E53" s="213" t="s">
        <v>419</v>
      </c>
      <c r="F53" s="284" t="s">
        <v>578</v>
      </c>
    </row>
    <row r="54" spans="1:6" x14ac:dyDescent="0.25">
      <c r="A54" s="143" t="s">
        <v>315</v>
      </c>
      <c r="B54" s="23" t="s">
        <v>365</v>
      </c>
      <c r="C54" s="5" t="s">
        <v>367</v>
      </c>
      <c r="D54" s="2">
        <v>80.17</v>
      </c>
      <c r="E54" s="214" t="s">
        <v>419</v>
      </c>
      <c r="F54" s="285" t="s">
        <v>579</v>
      </c>
    </row>
    <row r="55" spans="1:6" x14ac:dyDescent="0.25">
      <c r="A55" s="143" t="s">
        <v>315</v>
      </c>
      <c r="B55" s="23" t="s">
        <v>365</v>
      </c>
      <c r="C55" s="5" t="s">
        <v>368</v>
      </c>
      <c r="D55" s="2">
        <v>75.67</v>
      </c>
      <c r="E55" s="214" t="s">
        <v>419</v>
      </c>
      <c r="F55" s="285" t="s">
        <v>580</v>
      </c>
    </row>
    <row r="56" spans="1:6" x14ac:dyDescent="0.25">
      <c r="A56" s="143" t="s">
        <v>315</v>
      </c>
      <c r="B56" s="23" t="s">
        <v>365</v>
      </c>
      <c r="C56" s="5" t="s">
        <v>369</v>
      </c>
      <c r="D56" s="2">
        <v>75.5</v>
      </c>
      <c r="E56" s="218" t="s">
        <v>420</v>
      </c>
      <c r="F56" s="285" t="s">
        <v>581</v>
      </c>
    </row>
    <row r="57" spans="1:6" ht="15.75" thickBot="1" x14ac:dyDescent="0.3">
      <c r="A57" s="144" t="s">
        <v>315</v>
      </c>
      <c r="B57" s="116" t="s">
        <v>365</v>
      </c>
      <c r="C57" s="44" t="s">
        <v>370</v>
      </c>
      <c r="D57" s="51">
        <v>68.83</v>
      </c>
      <c r="E57" s="219" t="s">
        <v>420</v>
      </c>
      <c r="F57" s="286" t="s">
        <v>582</v>
      </c>
    </row>
    <row r="58" spans="1:6" ht="15.75" thickBot="1" x14ac:dyDescent="0.3">
      <c r="A58" s="195" t="s">
        <v>506</v>
      </c>
      <c r="B58" s="196" t="s">
        <v>507</v>
      </c>
      <c r="C58" s="173" t="s">
        <v>508</v>
      </c>
      <c r="D58" s="191">
        <v>77</v>
      </c>
      <c r="E58" s="404" t="s">
        <v>419</v>
      </c>
      <c r="F58" s="414" t="s">
        <v>578</v>
      </c>
    </row>
    <row r="59" spans="1:6" x14ac:dyDescent="0.25">
      <c r="A59" s="47" t="s">
        <v>506</v>
      </c>
      <c r="B59" s="115" t="s">
        <v>509</v>
      </c>
      <c r="C59" s="48" t="s">
        <v>510</v>
      </c>
      <c r="D59" s="49">
        <v>85.86</v>
      </c>
      <c r="E59" s="405" t="s">
        <v>419</v>
      </c>
      <c r="F59" s="284" t="s">
        <v>578</v>
      </c>
    </row>
    <row r="60" spans="1:6" x14ac:dyDescent="0.25">
      <c r="A60" s="50" t="s">
        <v>506</v>
      </c>
      <c r="B60" s="23" t="s">
        <v>509</v>
      </c>
      <c r="C60" s="5" t="s">
        <v>511</v>
      </c>
      <c r="D60" s="2">
        <v>82.86</v>
      </c>
      <c r="E60" s="406" t="s">
        <v>419</v>
      </c>
      <c r="F60" s="285" t="s">
        <v>579</v>
      </c>
    </row>
    <row r="61" spans="1:6" x14ac:dyDescent="0.25">
      <c r="A61" s="50" t="s">
        <v>506</v>
      </c>
      <c r="B61" s="23" t="s">
        <v>509</v>
      </c>
      <c r="C61" s="7" t="str">
        <f>"619216511404"</f>
        <v>619216511404</v>
      </c>
      <c r="D61" s="2">
        <v>82.71</v>
      </c>
      <c r="E61" s="406" t="s">
        <v>419</v>
      </c>
      <c r="F61" s="285" t="s">
        <v>580</v>
      </c>
    </row>
    <row r="62" spans="1:6" x14ac:dyDescent="0.25">
      <c r="A62" s="50" t="s">
        <v>506</v>
      </c>
      <c r="B62" s="23" t="s">
        <v>509</v>
      </c>
      <c r="C62" s="5" t="s">
        <v>512</v>
      </c>
      <c r="D62" s="2">
        <v>79.86</v>
      </c>
      <c r="E62" s="406" t="s">
        <v>419</v>
      </c>
      <c r="F62" s="285" t="s">
        <v>581</v>
      </c>
    </row>
    <row r="63" spans="1:6" x14ac:dyDescent="0.25">
      <c r="A63" s="50" t="s">
        <v>506</v>
      </c>
      <c r="B63" s="23" t="s">
        <v>509</v>
      </c>
      <c r="C63" s="5" t="s">
        <v>513</v>
      </c>
      <c r="D63" s="2">
        <v>79</v>
      </c>
      <c r="E63" s="406" t="s">
        <v>419</v>
      </c>
      <c r="F63" s="285" t="s">
        <v>582</v>
      </c>
    </row>
    <row r="64" spans="1:6" x14ac:dyDescent="0.25">
      <c r="A64" s="50" t="s">
        <v>506</v>
      </c>
      <c r="B64" s="23" t="s">
        <v>509</v>
      </c>
      <c r="C64" s="5" t="s">
        <v>514</v>
      </c>
      <c r="D64" s="2">
        <v>78</v>
      </c>
      <c r="E64" s="406" t="s">
        <v>419</v>
      </c>
      <c r="F64" s="285" t="s">
        <v>583</v>
      </c>
    </row>
    <row r="65" spans="1:6" x14ac:dyDescent="0.25">
      <c r="A65" s="50" t="s">
        <v>506</v>
      </c>
      <c r="B65" s="23" t="s">
        <v>509</v>
      </c>
      <c r="C65" s="5" t="s">
        <v>515</v>
      </c>
      <c r="D65" s="2">
        <v>78</v>
      </c>
      <c r="E65" s="406" t="s">
        <v>419</v>
      </c>
      <c r="F65" s="285" t="s">
        <v>584</v>
      </c>
    </row>
    <row r="66" spans="1:6" x14ac:dyDescent="0.25">
      <c r="A66" s="50" t="s">
        <v>506</v>
      </c>
      <c r="B66" s="23" t="s">
        <v>509</v>
      </c>
      <c r="C66" s="5" t="s">
        <v>516</v>
      </c>
      <c r="D66" s="2">
        <v>77.86</v>
      </c>
      <c r="E66" s="406" t="s">
        <v>419</v>
      </c>
      <c r="F66" s="285" t="s">
        <v>585</v>
      </c>
    </row>
    <row r="67" spans="1:6" x14ac:dyDescent="0.25">
      <c r="A67" s="50" t="s">
        <v>506</v>
      </c>
      <c r="B67" s="23" t="s">
        <v>509</v>
      </c>
      <c r="C67" s="5" t="s">
        <v>517</v>
      </c>
      <c r="D67" s="2">
        <v>76.86</v>
      </c>
      <c r="E67" s="406" t="s">
        <v>419</v>
      </c>
      <c r="F67" s="285" t="s">
        <v>586</v>
      </c>
    </row>
    <row r="68" spans="1:6" x14ac:dyDescent="0.25">
      <c r="A68" s="50" t="s">
        <v>506</v>
      </c>
      <c r="B68" s="23" t="s">
        <v>509</v>
      </c>
      <c r="C68" s="7" t="str">
        <f>"619216511401"</f>
        <v>619216511401</v>
      </c>
      <c r="D68" s="2">
        <v>76.569999999999993</v>
      </c>
      <c r="E68" s="406" t="s">
        <v>419</v>
      </c>
      <c r="F68" s="285" t="s">
        <v>587</v>
      </c>
    </row>
    <row r="69" spans="1:6" x14ac:dyDescent="0.25">
      <c r="A69" s="50" t="s">
        <v>506</v>
      </c>
      <c r="B69" s="23" t="s">
        <v>509</v>
      </c>
      <c r="C69" s="5" t="s">
        <v>518</v>
      </c>
      <c r="D69" s="2">
        <v>76.14</v>
      </c>
      <c r="E69" s="406" t="s">
        <v>419</v>
      </c>
      <c r="F69" s="285" t="s">
        <v>588</v>
      </c>
    </row>
    <row r="70" spans="1:6" x14ac:dyDescent="0.25">
      <c r="A70" s="50" t="s">
        <v>506</v>
      </c>
      <c r="B70" s="23" t="s">
        <v>509</v>
      </c>
      <c r="C70" s="5" t="s">
        <v>519</v>
      </c>
      <c r="D70" s="2">
        <v>74.290000000000006</v>
      </c>
      <c r="E70" s="406" t="s">
        <v>419</v>
      </c>
      <c r="F70" s="285" t="s">
        <v>589</v>
      </c>
    </row>
    <row r="71" spans="1:6" x14ac:dyDescent="0.25">
      <c r="A71" s="50" t="s">
        <v>506</v>
      </c>
      <c r="B71" s="23" t="s">
        <v>509</v>
      </c>
      <c r="C71" s="5" t="s">
        <v>520</v>
      </c>
      <c r="D71" s="2">
        <v>74</v>
      </c>
      <c r="E71" s="406" t="s">
        <v>419</v>
      </c>
      <c r="F71" s="285" t="s">
        <v>590</v>
      </c>
    </row>
    <row r="72" spans="1:6" x14ac:dyDescent="0.25">
      <c r="A72" s="50" t="s">
        <v>506</v>
      </c>
      <c r="B72" s="23" t="s">
        <v>509</v>
      </c>
      <c r="C72" s="5" t="s">
        <v>521</v>
      </c>
      <c r="D72" s="2">
        <v>73.86</v>
      </c>
      <c r="E72" s="406" t="s">
        <v>419</v>
      </c>
      <c r="F72" s="285" t="s">
        <v>591</v>
      </c>
    </row>
    <row r="73" spans="1:6" x14ac:dyDescent="0.25">
      <c r="A73" s="50" t="s">
        <v>506</v>
      </c>
      <c r="B73" s="23" t="s">
        <v>509</v>
      </c>
      <c r="C73" s="5" t="s">
        <v>522</v>
      </c>
      <c r="D73" s="2">
        <v>70.430000000000007</v>
      </c>
      <c r="E73" s="406" t="s">
        <v>419</v>
      </c>
      <c r="F73" s="285" t="s">
        <v>592</v>
      </c>
    </row>
    <row r="74" spans="1:6" x14ac:dyDescent="0.25">
      <c r="A74" s="50" t="s">
        <v>506</v>
      </c>
      <c r="B74" s="193" t="s">
        <v>509</v>
      </c>
      <c r="C74" s="170" t="s">
        <v>523</v>
      </c>
      <c r="D74" s="27">
        <v>65.569999999999993</v>
      </c>
      <c r="E74" s="406" t="s">
        <v>419</v>
      </c>
      <c r="F74" s="285" t="s">
        <v>593</v>
      </c>
    </row>
    <row r="75" spans="1:6" x14ac:dyDescent="0.25">
      <c r="A75" s="50" t="s">
        <v>506</v>
      </c>
      <c r="B75" s="193" t="s">
        <v>509</v>
      </c>
      <c r="C75" s="170" t="s">
        <v>524</v>
      </c>
      <c r="D75" s="27">
        <v>60.29</v>
      </c>
      <c r="E75" s="407" t="s">
        <v>419</v>
      </c>
      <c r="F75" s="285" t="s">
        <v>594</v>
      </c>
    </row>
    <row r="76" spans="1:6" x14ac:dyDescent="0.25">
      <c r="A76" s="50" t="s">
        <v>506</v>
      </c>
      <c r="B76" s="193" t="s">
        <v>509</v>
      </c>
      <c r="C76" s="170" t="s">
        <v>531</v>
      </c>
      <c r="D76" s="27">
        <v>56.14</v>
      </c>
      <c r="E76" s="218" t="s">
        <v>420</v>
      </c>
      <c r="F76" s="285" t="s">
        <v>595</v>
      </c>
    </row>
    <row r="77" spans="1:6" x14ac:dyDescent="0.25">
      <c r="A77" s="50" t="s">
        <v>506</v>
      </c>
      <c r="B77" s="193" t="s">
        <v>509</v>
      </c>
      <c r="C77" s="170" t="str">
        <f>"619216511418"</f>
        <v>619216511418</v>
      </c>
      <c r="D77" s="27">
        <v>37.29</v>
      </c>
      <c r="E77" s="218" t="s">
        <v>420</v>
      </c>
      <c r="F77" s="285" t="s">
        <v>596</v>
      </c>
    </row>
    <row r="78" spans="1:6" ht="15.75" thickBot="1" x14ac:dyDescent="0.3">
      <c r="A78" s="42" t="s">
        <v>506</v>
      </c>
      <c r="B78" s="197" t="s">
        <v>509</v>
      </c>
      <c r="C78" s="177" t="s">
        <v>532</v>
      </c>
      <c r="D78" s="63">
        <v>31.86</v>
      </c>
      <c r="E78" s="219" t="s">
        <v>420</v>
      </c>
      <c r="F78" s="286" t="s">
        <v>597</v>
      </c>
    </row>
    <row r="79" spans="1:6" x14ac:dyDescent="0.25">
      <c r="A79" s="47" t="s">
        <v>506</v>
      </c>
      <c r="B79" s="198" t="s">
        <v>525</v>
      </c>
      <c r="C79" s="176" t="s">
        <v>526</v>
      </c>
      <c r="D79" s="65">
        <v>83.86</v>
      </c>
      <c r="E79" s="213" t="s">
        <v>419</v>
      </c>
      <c r="F79" s="284" t="s">
        <v>578</v>
      </c>
    </row>
    <row r="80" spans="1:6" x14ac:dyDescent="0.25">
      <c r="A80" s="50" t="s">
        <v>506</v>
      </c>
      <c r="B80" s="193" t="s">
        <v>525</v>
      </c>
      <c r="C80" s="170" t="s">
        <v>527</v>
      </c>
      <c r="D80" s="27">
        <v>82.86</v>
      </c>
      <c r="E80" s="214" t="s">
        <v>419</v>
      </c>
      <c r="F80" s="285" t="s">
        <v>579</v>
      </c>
    </row>
    <row r="81" spans="1:6" x14ac:dyDescent="0.25">
      <c r="A81" s="50" t="s">
        <v>506</v>
      </c>
      <c r="B81" s="193" t="s">
        <v>525</v>
      </c>
      <c r="C81" s="170" t="str">
        <f>"619216511379"</f>
        <v>619216511379</v>
      </c>
      <c r="D81" s="27">
        <v>80.569999999999993</v>
      </c>
      <c r="E81" s="214" t="s">
        <v>419</v>
      </c>
      <c r="F81" s="285" t="s">
        <v>580</v>
      </c>
    </row>
    <row r="82" spans="1:6" x14ac:dyDescent="0.25">
      <c r="A82" s="50" t="s">
        <v>506</v>
      </c>
      <c r="B82" s="193" t="s">
        <v>525</v>
      </c>
      <c r="C82" s="170" t="str">
        <f>"619216511394"</f>
        <v>619216511394</v>
      </c>
      <c r="D82" s="27">
        <v>80.430000000000007</v>
      </c>
      <c r="E82" s="214" t="s">
        <v>419</v>
      </c>
      <c r="F82" s="285" t="s">
        <v>581</v>
      </c>
    </row>
    <row r="83" spans="1:6" x14ac:dyDescent="0.25">
      <c r="A83" s="50" t="s">
        <v>506</v>
      </c>
      <c r="B83" s="193" t="s">
        <v>525</v>
      </c>
      <c r="C83" s="170" t="str">
        <f>"619216511412"</f>
        <v>619216511412</v>
      </c>
      <c r="D83" s="27">
        <v>38.71</v>
      </c>
      <c r="E83" s="218" t="s">
        <v>420</v>
      </c>
      <c r="F83" s="285" t="s">
        <v>582</v>
      </c>
    </row>
    <row r="84" spans="1:6" ht="15.75" thickBot="1" x14ac:dyDescent="0.3">
      <c r="A84" s="42" t="s">
        <v>506</v>
      </c>
      <c r="B84" s="197" t="s">
        <v>525</v>
      </c>
      <c r="C84" s="177" t="s">
        <v>533</v>
      </c>
      <c r="D84" s="63">
        <v>37.14</v>
      </c>
      <c r="E84" s="219" t="s">
        <v>420</v>
      </c>
      <c r="F84" s="286" t="s">
        <v>583</v>
      </c>
    </row>
    <row r="85" spans="1:6" x14ac:dyDescent="0.25">
      <c r="A85" s="47" t="s">
        <v>506</v>
      </c>
      <c r="B85" s="199" t="s">
        <v>535</v>
      </c>
      <c r="C85" s="176" t="s">
        <v>528</v>
      </c>
      <c r="D85" s="65">
        <v>80.14</v>
      </c>
      <c r="E85" s="213" t="s">
        <v>419</v>
      </c>
      <c r="F85" s="284" t="s">
        <v>578</v>
      </c>
    </row>
    <row r="86" spans="1:6" x14ac:dyDescent="0.25">
      <c r="A86" s="50" t="s">
        <v>506</v>
      </c>
      <c r="B86" s="194" t="s">
        <v>535</v>
      </c>
      <c r="C86" s="170" t="s">
        <v>529</v>
      </c>
      <c r="D86" s="27">
        <v>73.569999999999993</v>
      </c>
      <c r="E86" s="214" t="s">
        <v>419</v>
      </c>
      <c r="F86" s="285" t="s">
        <v>579</v>
      </c>
    </row>
    <row r="87" spans="1:6" x14ac:dyDescent="0.25">
      <c r="A87" s="50" t="s">
        <v>506</v>
      </c>
      <c r="B87" s="194" t="s">
        <v>535</v>
      </c>
      <c r="C87" s="170" t="s">
        <v>530</v>
      </c>
      <c r="D87" s="27">
        <v>67</v>
      </c>
      <c r="E87" s="214" t="s">
        <v>419</v>
      </c>
      <c r="F87" s="285" t="s">
        <v>580</v>
      </c>
    </row>
    <row r="88" spans="1:6" x14ac:dyDescent="0.25">
      <c r="A88" s="50" t="s">
        <v>506</v>
      </c>
      <c r="B88" s="194" t="s">
        <v>535</v>
      </c>
      <c r="C88" s="170" t="str">
        <f>"619216511415"</f>
        <v>619216511415</v>
      </c>
      <c r="D88" s="27">
        <v>49.14</v>
      </c>
      <c r="E88" s="218" t="s">
        <v>420</v>
      </c>
      <c r="F88" s="285" t="s">
        <v>581</v>
      </c>
    </row>
    <row r="89" spans="1:6" ht="15.75" thickBot="1" x14ac:dyDescent="0.3">
      <c r="A89" s="42" t="s">
        <v>506</v>
      </c>
      <c r="B89" s="200" t="s">
        <v>535</v>
      </c>
      <c r="C89" s="177" t="s">
        <v>534</v>
      </c>
      <c r="D89" s="63">
        <v>37.43</v>
      </c>
      <c r="E89" s="219" t="s">
        <v>420</v>
      </c>
      <c r="F89" s="286" t="s">
        <v>582</v>
      </c>
    </row>
    <row r="90" spans="1:6" x14ac:dyDescent="0.25">
      <c r="A90" s="156" t="s">
        <v>752</v>
      </c>
      <c r="B90" s="37" t="s">
        <v>316</v>
      </c>
      <c r="C90" s="49" t="str">
        <f>"619217511999"</f>
        <v>619217511999</v>
      </c>
      <c r="D90" s="49">
        <v>83.67</v>
      </c>
      <c r="E90" s="213" t="s">
        <v>419</v>
      </c>
      <c r="F90" s="284" t="s">
        <v>578</v>
      </c>
    </row>
    <row r="91" spans="1:6" ht="15.75" thickBot="1" x14ac:dyDescent="0.3">
      <c r="A91" s="95" t="s">
        <v>752</v>
      </c>
      <c r="B91" s="14" t="s">
        <v>316</v>
      </c>
      <c r="C91" s="2" t="str">
        <f>"619217512000"</f>
        <v>619217512000</v>
      </c>
      <c r="D91" s="2">
        <v>82</v>
      </c>
      <c r="E91" s="214" t="s">
        <v>419</v>
      </c>
      <c r="F91" s="415" t="s">
        <v>579</v>
      </c>
    </row>
    <row r="92" spans="1:6" x14ac:dyDescent="0.25">
      <c r="A92" s="95" t="s">
        <v>752</v>
      </c>
      <c r="B92" s="14" t="s">
        <v>316</v>
      </c>
      <c r="C92" s="2" t="str">
        <f>"619217512002"</f>
        <v>619217512002</v>
      </c>
      <c r="D92" s="2">
        <v>80.17</v>
      </c>
      <c r="E92" s="213" t="s">
        <v>419</v>
      </c>
      <c r="F92" s="415" t="s">
        <v>580</v>
      </c>
    </row>
    <row r="93" spans="1:6" ht="15.75" thickBot="1" x14ac:dyDescent="0.3">
      <c r="A93" s="95" t="s">
        <v>752</v>
      </c>
      <c r="B93" s="14" t="s">
        <v>316</v>
      </c>
      <c r="C93" s="2" t="str">
        <f>"619217512003"</f>
        <v>619217512003</v>
      </c>
      <c r="D93" s="2">
        <v>78.83</v>
      </c>
      <c r="E93" s="214" t="s">
        <v>419</v>
      </c>
      <c r="F93" s="415" t="s">
        <v>581</v>
      </c>
    </row>
    <row r="94" spans="1:6" x14ac:dyDescent="0.25">
      <c r="A94" s="95" t="s">
        <v>752</v>
      </c>
      <c r="B94" s="14" t="s">
        <v>316</v>
      </c>
      <c r="C94" s="2" t="str">
        <f>"619217512004"</f>
        <v>619217512004</v>
      </c>
      <c r="D94" s="2">
        <v>78.33</v>
      </c>
      <c r="E94" s="213" t="s">
        <v>419</v>
      </c>
      <c r="F94" s="415" t="s">
        <v>582</v>
      </c>
    </row>
    <row r="95" spans="1:6" ht="15.75" thickBot="1" x14ac:dyDescent="0.3">
      <c r="A95" s="95" t="s">
        <v>752</v>
      </c>
      <c r="B95" s="14" t="s">
        <v>316</v>
      </c>
      <c r="C95" s="2" t="str">
        <f>"619217512005"</f>
        <v>619217512005</v>
      </c>
      <c r="D95" s="2">
        <v>77.33</v>
      </c>
      <c r="E95" s="214" t="s">
        <v>419</v>
      </c>
      <c r="F95" s="415" t="s">
        <v>583</v>
      </c>
    </row>
    <row r="96" spans="1:6" x14ac:dyDescent="0.25">
      <c r="A96" s="95" t="s">
        <v>752</v>
      </c>
      <c r="B96" s="14" t="s">
        <v>316</v>
      </c>
      <c r="C96" s="2" t="str">
        <f>"619217512006"</f>
        <v>619217512006</v>
      </c>
      <c r="D96" s="2">
        <v>76.67</v>
      </c>
      <c r="E96" s="213" t="s">
        <v>419</v>
      </c>
      <c r="F96" s="415" t="s">
        <v>584</v>
      </c>
    </row>
    <row r="97" spans="1:6" ht="15.75" thickBot="1" x14ac:dyDescent="0.3">
      <c r="A97" s="95" t="s">
        <v>752</v>
      </c>
      <c r="B97" s="14" t="s">
        <v>316</v>
      </c>
      <c r="C97" s="2" t="str">
        <f>"619217512007"</f>
        <v>619217512007</v>
      </c>
      <c r="D97" s="2">
        <v>75.5</v>
      </c>
      <c r="E97" s="214" t="s">
        <v>419</v>
      </c>
      <c r="F97" s="415" t="s">
        <v>585</v>
      </c>
    </row>
    <row r="98" spans="1:6" x14ac:dyDescent="0.25">
      <c r="A98" s="95" t="s">
        <v>752</v>
      </c>
      <c r="B98" s="14" t="s">
        <v>316</v>
      </c>
      <c r="C98" s="2" t="str">
        <f>"619217512008"</f>
        <v>619217512008</v>
      </c>
      <c r="D98" s="2">
        <v>72.33</v>
      </c>
      <c r="E98" s="213" t="s">
        <v>419</v>
      </c>
      <c r="F98" s="415" t="s">
        <v>586</v>
      </c>
    </row>
    <row r="99" spans="1:6" ht="15.75" thickBot="1" x14ac:dyDescent="0.3">
      <c r="A99" s="95" t="s">
        <v>752</v>
      </c>
      <c r="B99" s="14" t="s">
        <v>316</v>
      </c>
      <c r="C99" s="2" t="str">
        <f>"619217512009"</f>
        <v>619217512009</v>
      </c>
      <c r="D99" s="2">
        <v>70.5</v>
      </c>
      <c r="E99" s="214" t="s">
        <v>419</v>
      </c>
      <c r="F99" s="415" t="s">
        <v>587</v>
      </c>
    </row>
    <row r="100" spans="1:6" x14ac:dyDescent="0.25">
      <c r="A100" s="95" t="s">
        <v>752</v>
      </c>
      <c r="B100" s="14" t="s">
        <v>316</v>
      </c>
      <c r="C100" s="2" t="str">
        <f>"619217512010"</f>
        <v>619217512010</v>
      </c>
      <c r="D100" s="2">
        <v>68.17</v>
      </c>
      <c r="E100" s="213" t="s">
        <v>419</v>
      </c>
      <c r="F100" s="415" t="s">
        <v>588</v>
      </c>
    </row>
    <row r="101" spans="1:6" x14ac:dyDescent="0.25">
      <c r="A101" s="95" t="s">
        <v>752</v>
      </c>
      <c r="B101" s="360" t="s">
        <v>316</v>
      </c>
      <c r="C101" s="179" t="str">
        <f>"619217512013"</f>
        <v>619217512013</v>
      </c>
      <c r="D101" s="179">
        <v>65.17</v>
      </c>
      <c r="E101" s="214" t="s">
        <v>419</v>
      </c>
      <c r="F101" s="415" t="s">
        <v>589</v>
      </c>
    </row>
    <row r="102" spans="1:6" ht="15.75" thickBot="1" x14ac:dyDescent="0.3">
      <c r="A102" s="96" t="s">
        <v>752</v>
      </c>
      <c r="B102" s="357" t="s">
        <v>316</v>
      </c>
      <c r="C102" s="51" t="str">
        <f>"619217512043"</f>
        <v>619217512043</v>
      </c>
      <c r="D102" s="51">
        <v>50.83</v>
      </c>
      <c r="E102" s="219" t="s">
        <v>420</v>
      </c>
      <c r="F102" s="416" t="s">
        <v>590</v>
      </c>
    </row>
    <row r="103" spans="1:6" x14ac:dyDescent="0.25">
      <c r="A103" s="156" t="s">
        <v>752</v>
      </c>
      <c r="B103" s="48" t="s">
        <v>333</v>
      </c>
      <c r="C103" s="49" t="str">
        <f>"619217512014"</f>
        <v>619217512014</v>
      </c>
      <c r="D103" s="49">
        <v>79.290000000000006</v>
      </c>
      <c r="E103" s="213" t="s">
        <v>419</v>
      </c>
      <c r="F103" s="417" t="s">
        <v>578</v>
      </c>
    </row>
    <row r="104" spans="1:6" x14ac:dyDescent="0.25">
      <c r="A104" s="95" t="s">
        <v>752</v>
      </c>
      <c r="B104" s="5" t="s">
        <v>333</v>
      </c>
      <c r="C104" s="2" t="str">
        <f>"619217512016"</f>
        <v>619217512016</v>
      </c>
      <c r="D104" s="2">
        <v>78.569999999999993</v>
      </c>
      <c r="E104" s="214" t="s">
        <v>419</v>
      </c>
      <c r="F104" s="415" t="s">
        <v>579</v>
      </c>
    </row>
    <row r="105" spans="1:6" x14ac:dyDescent="0.25">
      <c r="A105" s="95" t="s">
        <v>752</v>
      </c>
      <c r="B105" s="5" t="s">
        <v>333</v>
      </c>
      <c r="C105" s="2" t="str">
        <f>"619217512017"</f>
        <v>619217512017</v>
      </c>
      <c r="D105" s="2">
        <v>76.86</v>
      </c>
      <c r="E105" s="214" t="s">
        <v>419</v>
      </c>
      <c r="F105" s="415" t="s">
        <v>580</v>
      </c>
    </row>
    <row r="106" spans="1:6" x14ac:dyDescent="0.25">
      <c r="A106" s="95" t="s">
        <v>752</v>
      </c>
      <c r="B106" s="5" t="s">
        <v>333</v>
      </c>
      <c r="C106" s="2" t="str">
        <f>"619217512018"</f>
        <v>619217512018</v>
      </c>
      <c r="D106" s="2">
        <v>76.14</v>
      </c>
      <c r="E106" s="214" t="s">
        <v>419</v>
      </c>
      <c r="F106" s="415" t="s">
        <v>581</v>
      </c>
    </row>
    <row r="107" spans="1:6" x14ac:dyDescent="0.25">
      <c r="A107" s="95" t="s">
        <v>752</v>
      </c>
      <c r="B107" s="5" t="s">
        <v>333</v>
      </c>
      <c r="C107" s="2" t="str">
        <f>"619217512019"</f>
        <v>619217512019</v>
      </c>
      <c r="D107" s="2">
        <v>75.709999999999994</v>
      </c>
      <c r="E107" s="214" t="s">
        <v>419</v>
      </c>
      <c r="F107" s="415" t="s">
        <v>582</v>
      </c>
    </row>
    <row r="108" spans="1:6" x14ac:dyDescent="0.25">
      <c r="A108" s="95" t="s">
        <v>752</v>
      </c>
      <c r="B108" s="5" t="s">
        <v>333</v>
      </c>
      <c r="C108" s="2" t="str">
        <f>"619217512012"</f>
        <v>619217512012</v>
      </c>
      <c r="D108" s="2">
        <v>69.14</v>
      </c>
      <c r="E108" s="214" t="s">
        <v>419</v>
      </c>
      <c r="F108" s="415" t="s">
        <v>583</v>
      </c>
    </row>
    <row r="109" spans="1:6" x14ac:dyDescent="0.25">
      <c r="A109" s="95" t="s">
        <v>752</v>
      </c>
      <c r="B109" s="5" t="s">
        <v>333</v>
      </c>
      <c r="C109" s="2" t="str">
        <f>"619217512045"</f>
        <v>619217512045</v>
      </c>
      <c r="D109" s="2">
        <v>54.86</v>
      </c>
      <c r="E109" s="214" t="s">
        <v>419</v>
      </c>
      <c r="F109" s="415" t="s">
        <v>584</v>
      </c>
    </row>
    <row r="110" spans="1:6" ht="15.75" thickBot="1" x14ac:dyDescent="0.3">
      <c r="A110" s="96" t="s">
        <v>752</v>
      </c>
      <c r="B110" s="44" t="s">
        <v>333</v>
      </c>
      <c r="C110" s="51" t="str">
        <f>"619217512044"</f>
        <v>619217512044</v>
      </c>
      <c r="D110" s="51">
        <v>57.57</v>
      </c>
      <c r="E110" s="219" t="s">
        <v>420</v>
      </c>
      <c r="F110" s="416" t="s">
        <v>585</v>
      </c>
    </row>
    <row r="111" spans="1:6" x14ac:dyDescent="0.25">
      <c r="A111" s="156" t="s">
        <v>752</v>
      </c>
      <c r="B111" s="48" t="s">
        <v>341</v>
      </c>
      <c r="C111" s="49" t="str">
        <f>"619217512021"</f>
        <v>619217512021</v>
      </c>
      <c r="D111" s="49">
        <v>84.33</v>
      </c>
      <c r="E111" s="213" t="s">
        <v>419</v>
      </c>
      <c r="F111" s="417" t="s">
        <v>578</v>
      </c>
    </row>
    <row r="112" spans="1:6" x14ac:dyDescent="0.25">
      <c r="A112" s="95" t="s">
        <v>752</v>
      </c>
      <c r="B112" s="5" t="s">
        <v>341</v>
      </c>
      <c r="C112" s="2" t="str">
        <f>"619217512023"</f>
        <v>619217512023</v>
      </c>
      <c r="D112" s="2">
        <v>80.67</v>
      </c>
      <c r="E112" s="214" t="s">
        <v>419</v>
      </c>
      <c r="F112" s="415" t="s">
        <v>579</v>
      </c>
    </row>
    <row r="113" spans="1:6" x14ac:dyDescent="0.25">
      <c r="A113" s="95" t="s">
        <v>752</v>
      </c>
      <c r="B113" s="5" t="s">
        <v>341</v>
      </c>
      <c r="C113" s="2" t="str">
        <f>"619217512001"</f>
        <v>619217512001</v>
      </c>
      <c r="D113" s="2">
        <v>80.5</v>
      </c>
      <c r="E113" s="214" t="s">
        <v>419</v>
      </c>
      <c r="F113" s="415" t="s">
        <v>580</v>
      </c>
    </row>
    <row r="114" spans="1:6" x14ac:dyDescent="0.25">
      <c r="A114" s="95" t="s">
        <v>752</v>
      </c>
      <c r="B114" s="5" t="s">
        <v>341</v>
      </c>
      <c r="C114" s="2" t="str">
        <f>"619217512024"</f>
        <v>619217512024</v>
      </c>
      <c r="D114" s="2">
        <v>80.33</v>
      </c>
      <c r="E114" s="214" t="s">
        <v>419</v>
      </c>
      <c r="F114" s="402" t="s">
        <v>581</v>
      </c>
    </row>
    <row r="115" spans="1:6" x14ac:dyDescent="0.25">
      <c r="A115" s="95" t="s">
        <v>752</v>
      </c>
      <c r="B115" s="5" t="s">
        <v>341</v>
      </c>
      <c r="C115" s="2" t="str">
        <f>"619217512025"</f>
        <v>619217512025</v>
      </c>
      <c r="D115" s="2">
        <v>75</v>
      </c>
      <c r="E115" s="214" t="s">
        <v>419</v>
      </c>
      <c r="F115" s="402" t="s">
        <v>582</v>
      </c>
    </row>
    <row r="116" spans="1:6" x14ac:dyDescent="0.25">
      <c r="A116" s="95" t="s">
        <v>752</v>
      </c>
      <c r="B116" s="5" t="s">
        <v>341</v>
      </c>
      <c r="C116" s="2" t="str">
        <f>"619217512026"</f>
        <v>619217512026</v>
      </c>
      <c r="D116" s="2">
        <v>72.5</v>
      </c>
      <c r="E116" s="214" t="s">
        <v>419</v>
      </c>
      <c r="F116" s="402" t="s">
        <v>583</v>
      </c>
    </row>
    <row r="117" spans="1:6" x14ac:dyDescent="0.25">
      <c r="A117" s="95" t="s">
        <v>752</v>
      </c>
      <c r="B117" s="5" t="s">
        <v>341</v>
      </c>
      <c r="C117" s="2" t="str">
        <f>"619217512027"</f>
        <v>619217512027</v>
      </c>
      <c r="D117" s="2">
        <v>71</v>
      </c>
      <c r="E117" s="214" t="s">
        <v>419</v>
      </c>
      <c r="F117" s="402" t="s">
        <v>584</v>
      </c>
    </row>
    <row r="118" spans="1:6" x14ac:dyDescent="0.25">
      <c r="A118" s="95" t="s">
        <v>752</v>
      </c>
      <c r="B118" s="5" t="s">
        <v>341</v>
      </c>
      <c r="C118" s="2" t="str">
        <f>"619217512028"</f>
        <v>619217512028</v>
      </c>
      <c r="D118" s="2">
        <v>68.33</v>
      </c>
      <c r="E118" s="214" t="s">
        <v>419</v>
      </c>
      <c r="F118" s="402" t="s">
        <v>585</v>
      </c>
    </row>
    <row r="119" spans="1:6" ht="15.75" thickBot="1" x14ac:dyDescent="0.3">
      <c r="A119" s="96" t="s">
        <v>752</v>
      </c>
      <c r="B119" s="44" t="s">
        <v>341</v>
      </c>
      <c r="C119" s="51" t="str">
        <f>"619217512029"</f>
        <v>619217512029</v>
      </c>
      <c r="D119" s="51">
        <v>62.5</v>
      </c>
      <c r="E119" s="215" t="s">
        <v>419</v>
      </c>
      <c r="F119" s="403" t="s">
        <v>586</v>
      </c>
    </row>
    <row r="120" spans="1:6" x14ac:dyDescent="0.25">
      <c r="A120" s="156" t="s">
        <v>752</v>
      </c>
      <c r="B120" s="48" t="s">
        <v>342</v>
      </c>
      <c r="C120" s="49" t="str">
        <f>"619217512030"</f>
        <v>619217512030</v>
      </c>
      <c r="D120" s="49">
        <v>79.709999999999994</v>
      </c>
      <c r="E120" s="213" t="s">
        <v>419</v>
      </c>
      <c r="F120" s="418" t="s">
        <v>578</v>
      </c>
    </row>
    <row r="121" spans="1:6" x14ac:dyDescent="0.25">
      <c r="A121" s="95" t="s">
        <v>752</v>
      </c>
      <c r="B121" s="5" t="s">
        <v>342</v>
      </c>
      <c r="C121" s="2" t="str">
        <f>"619217512031"</f>
        <v>619217512031</v>
      </c>
      <c r="D121" s="2">
        <v>79.430000000000007</v>
      </c>
      <c r="E121" s="214" t="s">
        <v>419</v>
      </c>
      <c r="F121" s="402" t="s">
        <v>579</v>
      </c>
    </row>
    <row r="122" spans="1:6" x14ac:dyDescent="0.25">
      <c r="A122" s="95" t="s">
        <v>752</v>
      </c>
      <c r="B122" s="5" t="s">
        <v>342</v>
      </c>
      <c r="C122" s="2" t="str">
        <f>"619217512034"</f>
        <v>619217512034</v>
      </c>
      <c r="D122" s="2">
        <v>78.569999999999993</v>
      </c>
      <c r="E122" s="214" t="s">
        <v>419</v>
      </c>
      <c r="F122" s="402" t="s">
        <v>580</v>
      </c>
    </row>
    <row r="123" spans="1:6" x14ac:dyDescent="0.25">
      <c r="A123" s="95" t="s">
        <v>752</v>
      </c>
      <c r="B123" s="5" t="s">
        <v>342</v>
      </c>
      <c r="C123" s="2" t="str">
        <f>"619217512015"</f>
        <v>619217512015</v>
      </c>
      <c r="D123" s="2">
        <v>76.14</v>
      </c>
      <c r="E123" s="214" t="s">
        <v>419</v>
      </c>
      <c r="F123" s="402" t="s">
        <v>581</v>
      </c>
    </row>
    <row r="124" spans="1:6" x14ac:dyDescent="0.25">
      <c r="A124" s="95" t="s">
        <v>752</v>
      </c>
      <c r="B124" s="5" t="s">
        <v>342</v>
      </c>
      <c r="C124" s="2" t="str">
        <f>"619217512032"</f>
        <v>619217512032</v>
      </c>
      <c r="D124" s="2">
        <v>72</v>
      </c>
      <c r="E124" s="214" t="s">
        <v>419</v>
      </c>
      <c r="F124" s="402" t="s">
        <v>582</v>
      </c>
    </row>
    <row r="125" spans="1:6" x14ac:dyDescent="0.25">
      <c r="A125" s="95" t="s">
        <v>752</v>
      </c>
      <c r="B125" s="5" t="s">
        <v>342</v>
      </c>
      <c r="C125" s="2" t="str">
        <f>"619217512033"</f>
        <v>619217512033</v>
      </c>
      <c r="D125" s="2">
        <v>71.14</v>
      </c>
      <c r="E125" s="214" t="s">
        <v>419</v>
      </c>
      <c r="F125" s="402" t="s">
        <v>583</v>
      </c>
    </row>
    <row r="126" spans="1:6" x14ac:dyDescent="0.25">
      <c r="A126" s="95" t="s">
        <v>752</v>
      </c>
      <c r="B126" s="5" t="s">
        <v>342</v>
      </c>
      <c r="C126" s="2" t="str">
        <f>"619217512035"</f>
        <v>619217512035</v>
      </c>
      <c r="D126" s="2">
        <v>70.86</v>
      </c>
      <c r="E126" s="214" t="s">
        <v>419</v>
      </c>
      <c r="F126" s="402" t="s">
        <v>584</v>
      </c>
    </row>
    <row r="127" spans="1:6" x14ac:dyDescent="0.25">
      <c r="A127" s="95" t="s">
        <v>752</v>
      </c>
      <c r="B127" s="5" t="s">
        <v>342</v>
      </c>
      <c r="C127" s="2" t="str">
        <f>"619217512011"</f>
        <v>619217512011</v>
      </c>
      <c r="D127" s="2">
        <v>70.14</v>
      </c>
      <c r="E127" s="214" t="s">
        <v>419</v>
      </c>
      <c r="F127" s="402" t="s">
        <v>585</v>
      </c>
    </row>
    <row r="128" spans="1:6" x14ac:dyDescent="0.25">
      <c r="A128" s="95" t="s">
        <v>752</v>
      </c>
      <c r="B128" s="5" t="s">
        <v>342</v>
      </c>
      <c r="C128" s="2" t="str">
        <f>"619217512036"</f>
        <v>619217512036</v>
      </c>
      <c r="D128" s="2">
        <v>69.569999999999993</v>
      </c>
      <c r="E128" s="214" t="s">
        <v>419</v>
      </c>
      <c r="F128" s="402" t="s">
        <v>586</v>
      </c>
    </row>
    <row r="129" spans="1:6" x14ac:dyDescent="0.25">
      <c r="A129" s="95" t="s">
        <v>752</v>
      </c>
      <c r="B129" s="5" t="s">
        <v>342</v>
      </c>
      <c r="C129" s="2" t="str">
        <f>"619217512037"</f>
        <v>619217512037</v>
      </c>
      <c r="D129" s="2">
        <v>69</v>
      </c>
      <c r="E129" s="214" t="s">
        <v>419</v>
      </c>
      <c r="F129" s="402" t="s">
        <v>587</v>
      </c>
    </row>
    <row r="130" spans="1:6" x14ac:dyDescent="0.25">
      <c r="A130" s="95" t="s">
        <v>752</v>
      </c>
      <c r="B130" s="5" t="s">
        <v>342</v>
      </c>
      <c r="C130" s="2" t="str">
        <f>"619217512020"</f>
        <v>619217512020</v>
      </c>
      <c r="D130" s="2">
        <v>68.86</v>
      </c>
      <c r="E130" s="214" t="s">
        <v>419</v>
      </c>
      <c r="F130" s="402" t="s">
        <v>588</v>
      </c>
    </row>
    <row r="131" spans="1:6" x14ac:dyDescent="0.25">
      <c r="A131" s="95" t="s">
        <v>752</v>
      </c>
      <c r="B131" s="5" t="s">
        <v>342</v>
      </c>
      <c r="C131" s="2" t="str">
        <f>"619217512038"</f>
        <v>619217512038</v>
      </c>
      <c r="D131" s="2">
        <v>68.290000000000006</v>
      </c>
      <c r="E131" s="214" t="s">
        <v>419</v>
      </c>
      <c r="F131" s="402" t="s">
        <v>589</v>
      </c>
    </row>
    <row r="132" spans="1:6" x14ac:dyDescent="0.25">
      <c r="A132" s="95" t="s">
        <v>752</v>
      </c>
      <c r="B132" s="5" t="s">
        <v>342</v>
      </c>
      <c r="C132" s="2" t="str">
        <f>"619217512039"</f>
        <v>619217512039</v>
      </c>
      <c r="D132" s="2">
        <v>67</v>
      </c>
      <c r="E132" s="214" t="s">
        <v>419</v>
      </c>
      <c r="F132" s="402" t="s">
        <v>590</v>
      </c>
    </row>
    <row r="133" spans="1:6" x14ac:dyDescent="0.25">
      <c r="A133" s="95" t="s">
        <v>752</v>
      </c>
      <c r="B133" s="106" t="s">
        <v>342</v>
      </c>
      <c r="C133" s="179" t="str">
        <f>"619217512040"</f>
        <v>619217512040</v>
      </c>
      <c r="D133" s="179">
        <v>61.14</v>
      </c>
      <c r="E133" s="214" t="s">
        <v>419</v>
      </c>
      <c r="F133" s="402" t="s">
        <v>591</v>
      </c>
    </row>
    <row r="134" spans="1:6" ht="15.75" thickBot="1" x14ac:dyDescent="0.3">
      <c r="A134" s="96" t="s">
        <v>752</v>
      </c>
      <c r="B134" s="44" t="s">
        <v>342</v>
      </c>
      <c r="C134" s="51" t="str">
        <f>"619217512046"</f>
        <v>619217512046</v>
      </c>
      <c r="D134" s="51">
        <v>53.71</v>
      </c>
      <c r="E134" s="219" t="s">
        <v>420</v>
      </c>
      <c r="F134" s="403" t="s">
        <v>592</v>
      </c>
    </row>
    <row r="135" spans="1:6" x14ac:dyDescent="0.25">
      <c r="A135" s="156" t="s">
        <v>752</v>
      </c>
      <c r="B135" s="48" t="s">
        <v>364</v>
      </c>
      <c r="C135" s="49" t="str">
        <f>"619217512042"</f>
        <v>619217512042</v>
      </c>
      <c r="D135" s="49">
        <v>70.569999999999993</v>
      </c>
      <c r="E135" s="213" t="s">
        <v>419</v>
      </c>
      <c r="F135" s="418" t="s">
        <v>578</v>
      </c>
    </row>
    <row r="136" spans="1:6" x14ac:dyDescent="0.25">
      <c r="A136" s="95" t="s">
        <v>752</v>
      </c>
      <c r="B136" s="5" t="s">
        <v>364</v>
      </c>
      <c r="C136" s="2" t="str">
        <f>"619217512041"</f>
        <v>619217512041</v>
      </c>
      <c r="D136" s="2">
        <v>81.290000000000006</v>
      </c>
      <c r="E136" s="214" t="s">
        <v>419</v>
      </c>
      <c r="F136" s="402" t="s">
        <v>579</v>
      </c>
    </row>
    <row r="137" spans="1:6" x14ac:dyDescent="0.25">
      <c r="A137" s="95" t="s">
        <v>752</v>
      </c>
      <c r="B137" s="5" t="s">
        <v>364</v>
      </c>
      <c r="C137" s="2" t="str">
        <f>"619217512022"</f>
        <v>619217512022</v>
      </c>
      <c r="D137" s="2">
        <v>84.14</v>
      </c>
      <c r="E137" s="214" t="s">
        <v>419</v>
      </c>
      <c r="F137" s="402" t="s">
        <v>580</v>
      </c>
    </row>
    <row r="138" spans="1:6" ht="15.75" thickBot="1" x14ac:dyDescent="0.3">
      <c r="A138" s="235" t="s">
        <v>752</v>
      </c>
      <c r="B138" s="106" t="s">
        <v>364</v>
      </c>
      <c r="C138" s="179" t="str">
        <f>"619217512047"</f>
        <v>619217512047</v>
      </c>
      <c r="D138" s="375">
        <v>57</v>
      </c>
      <c r="E138" s="562" t="s">
        <v>420</v>
      </c>
      <c r="F138" s="563" t="s">
        <v>581</v>
      </c>
    </row>
    <row r="139" spans="1:6" x14ac:dyDescent="0.25">
      <c r="A139" s="239" t="s">
        <v>1069</v>
      </c>
      <c r="B139" s="564" t="s">
        <v>507</v>
      </c>
      <c r="C139" s="49" t="str">
        <f>"619217513056"</f>
        <v>619217513056</v>
      </c>
      <c r="D139" s="49">
        <v>78</v>
      </c>
      <c r="E139" s="228" t="s">
        <v>419</v>
      </c>
      <c r="F139" s="417" t="s">
        <v>578</v>
      </c>
    </row>
    <row r="140" spans="1:6" x14ac:dyDescent="0.25">
      <c r="A140" s="241" t="s">
        <v>1069</v>
      </c>
      <c r="B140" s="371" t="s">
        <v>507</v>
      </c>
      <c r="C140" s="2" t="str">
        <f>"619217513058"</f>
        <v>619217513058</v>
      </c>
      <c r="D140" s="2">
        <v>77.63</v>
      </c>
      <c r="E140" s="225" t="s">
        <v>419</v>
      </c>
      <c r="F140" s="415" t="s">
        <v>579</v>
      </c>
    </row>
    <row r="141" spans="1:6" x14ac:dyDescent="0.25">
      <c r="A141" s="241" t="s">
        <v>1069</v>
      </c>
      <c r="B141" s="371" t="s">
        <v>507</v>
      </c>
      <c r="C141" s="2" t="str">
        <f>"619217513072"</f>
        <v>619217513072</v>
      </c>
      <c r="D141" s="2"/>
      <c r="E141" s="226" t="s">
        <v>420</v>
      </c>
      <c r="F141" s="415" t="s">
        <v>580</v>
      </c>
    </row>
    <row r="142" spans="1:6" x14ac:dyDescent="0.25">
      <c r="A142" s="241" t="s">
        <v>1069</v>
      </c>
      <c r="B142" s="371" t="s">
        <v>509</v>
      </c>
      <c r="C142" s="2" t="str">
        <f>"619217513070"</f>
        <v>619217513070</v>
      </c>
      <c r="D142" s="2">
        <v>79.75</v>
      </c>
      <c r="E142" s="225" t="s">
        <v>419</v>
      </c>
      <c r="F142" s="415" t="s">
        <v>578</v>
      </c>
    </row>
    <row r="143" spans="1:6" x14ac:dyDescent="0.25">
      <c r="A143" s="241" t="s">
        <v>1069</v>
      </c>
      <c r="B143" s="371" t="s">
        <v>509</v>
      </c>
      <c r="C143" s="2" t="str">
        <f>"619217513060"</f>
        <v>619217513060</v>
      </c>
      <c r="D143" s="2">
        <v>79.75</v>
      </c>
      <c r="E143" s="225" t="s">
        <v>419</v>
      </c>
      <c r="F143" s="415" t="s">
        <v>579</v>
      </c>
    </row>
    <row r="144" spans="1:6" x14ac:dyDescent="0.25">
      <c r="A144" s="241" t="s">
        <v>1069</v>
      </c>
      <c r="B144" s="371" t="s">
        <v>509</v>
      </c>
      <c r="C144" s="2" t="str">
        <f>"619217513066"</f>
        <v>619217513066</v>
      </c>
      <c r="D144" s="2">
        <v>75.88</v>
      </c>
      <c r="E144" s="225" t="s">
        <v>419</v>
      </c>
      <c r="F144" s="415" t="s">
        <v>580</v>
      </c>
    </row>
    <row r="145" spans="1:6" x14ac:dyDescent="0.25">
      <c r="A145" s="241" t="s">
        <v>1069</v>
      </c>
      <c r="B145" s="371" t="s">
        <v>509</v>
      </c>
      <c r="C145" s="2" t="str">
        <f>"619217513061"</f>
        <v>619217513061</v>
      </c>
      <c r="D145" s="2">
        <v>75.75</v>
      </c>
      <c r="E145" s="225" t="s">
        <v>419</v>
      </c>
      <c r="F145" s="415" t="s">
        <v>581</v>
      </c>
    </row>
    <row r="146" spans="1:6" x14ac:dyDescent="0.25">
      <c r="A146" s="241" t="s">
        <v>1069</v>
      </c>
      <c r="B146" s="371" t="s">
        <v>509</v>
      </c>
      <c r="C146" s="2" t="str">
        <f>"619217513059"</f>
        <v>619217513059</v>
      </c>
      <c r="D146" s="2">
        <v>75.38</v>
      </c>
      <c r="E146" s="225" t="s">
        <v>419</v>
      </c>
      <c r="F146" s="415" t="s">
        <v>582</v>
      </c>
    </row>
    <row r="147" spans="1:6" x14ac:dyDescent="0.25">
      <c r="A147" s="241" t="s">
        <v>1069</v>
      </c>
      <c r="B147" s="371" t="s">
        <v>509</v>
      </c>
      <c r="C147" s="2" t="str">
        <f>"619217513069"</f>
        <v>619217513069</v>
      </c>
      <c r="D147" s="2">
        <v>72.88</v>
      </c>
      <c r="E147" s="225" t="s">
        <v>419</v>
      </c>
      <c r="F147" s="415" t="s">
        <v>583</v>
      </c>
    </row>
    <row r="148" spans="1:6" x14ac:dyDescent="0.25">
      <c r="A148" s="241" t="s">
        <v>1069</v>
      </c>
      <c r="B148" s="371" t="s">
        <v>509</v>
      </c>
      <c r="C148" s="2" t="str">
        <f>"619217513064"</f>
        <v>619217513064</v>
      </c>
      <c r="D148" s="2">
        <v>69</v>
      </c>
      <c r="E148" s="225" t="s">
        <v>419</v>
      </c>
      <c r="F148" s="415" t="s">
        <v>584</v>
      </c>
    </row>
    <row r="149" spans="1:6" x14ac:dyDescent="0.25">
      <c r="A149" s="241" t="s">
        <v>1069</v>
      </c>
      <c r="B149" s="371" t="s">
        <v>509</v>
      </c>
      <c r="C149" s="2" t="str">
        <f>"619217513055"</f>
        <v>619217513055</v>
      </c>
      <c r="D149" s="2">
        <v>65.5</v>
      </c>
      <c r="E149" s="225" t="s">
        <v>419</v>
      </c>
      <c r="F149" s="415" t="s">
        <v>585</v>
      </c>
    </row>
    <row r="150" spans="1:6" x14ac:dyDescent="0.25">
      <c r="A150" s="241" t="s">
        <v>1069</v>
      </c>
      <c r="B150" s="371" t="s">
        <v>509</v>
      </c>
      <c r="C150" s="2" t="str">
        <f>"619217493067"</f>
        <v>619217493067</v>
      </c>
      <c r="D150" s="2">
        <v>64</v>
      </c>
      <c r="E150" s="225" t="s">
        <v>419</v>
      </c>
      <c r="F150" s="415" t="s">
        <v>586</v>
      </c>
    </row>
    <row r="151" spans="1:6" x14ac:dyDescent="0.25">
      <c r="A151" s="241" t="s">
        <v>1069</v>
      </c>
      <c r="B151" s="371" t="s">
        <v>509</v>
      </c>
      <c r="C151" s="2" t="str">
        <f>"619217513082"</f>
        <v>619217513082</v>
      </c>
      <c r="D151" s="2">
        <v>59.88</v>
      </c>
      <c r="E151" s="226" t="s">
        <v>420</v>
      </c>
      <c r="F151" s="415" t="s">
        <v>587</v>
      </c>
    </row>
    <row r="152" spans="1:6" x14ac:dyDescent="0.25">
      <c r="A152" s="241" t="s">
        <v>1069</v>
      </c>
      <c r="B152" s="371" t="s">
        <v>509</v>
      </c>
      <c r="C152" s="2" t="str">
        <f>"619217513071"</f>
        <v>619217513071</v>
      </c>
      <c r="D152" s="2">
        <v>56.13</v>
      </c>
      <c r="E152" s="226" t="s">
        <v>420</v>
      </c>
      <c r="F152" s="415" t="s">
        <v>588</v>
      </c>
    </row>
    <row r="153" spans="1:6" x14ac:dyDescent="0.25">
      <c r="A153" s="241" t="s">
        <v>1069</v>
      </c>
      <c r="B153" s="371" t="s">
        <v>509</v>
      </c>
      <c r="C153" s="2" t="str">
        <f>"619217513078"</f>
        <v>619217513078</v>
      </c>
      <c r="D153" s="2">
        <v>53.38</v>
      </c>
      <c r="E153" s="226" t="s">
        <v>420</v>
      </c>
      <c r="F153" s="285" t="s">
        <v>589</v>
      </c>
    </row>
    <row r="154" spans="1:6" x14ac:dyDescent="0.25">
      <c r="A154" s="241" t="s">
        <v>1069</v>
      </c>
      <c r="B154" s="371" t="s">
        <v>509</v>
      </c>
      <c r="C154" s="2" t="str">
        <f>"619217513076"</f>
        <v>619217513076</v>
      </c>
      <c r="D154" s="2">
        <v>40.5</v>
      </c>
      <c r="E154" s="226" t="s">
        <v>420</v>
      </c>
      <c r="F154" s="285" t="s">
        <v>590</v>
      </c>
    </row>
    <row r="155" spans="1:6" x14ac:dyDescent="0.25">
      <c r="A155" s="241" t="s">
        <v>1069</v>
      </c>
      <c r="B155" s="371" t="s">
        <v>525</v>
      </c>
      <c r="C155" s="2" t="str">
        <f>"619217513057"</f>
        <v>619217513057</v>
      </c>
      <c r="D155" s="2">
        <v>83.13</v>
      </c>
      <c r="E155" s="225" t="s">
        <v>419</v>
      </c>
      <c r="F155" s="285" t="s">
        <v>578</v>
      </c>
    </row>
    <row r="156" spans="1:6" x14ac:dyDescent="0.25">
      <c r="A156" s="241" t="s">
        <v>1069</v>
      </c>
      <c r="B156" s="371" t="s">
        <v>525</v>
      </c>
      <c r="C156" s="2" t="str">
        <f>"619217513065"</f>
        <v>619217513065</v>
      </c>
      <c r="D156" s="2">
        <v>81.75</v>
      </c>
      <c r="E156" s="225" t="s">
        <v>419</v>
      </c>
      <c r="F156" s="285" t="s">
        <v>579</v>
      </c>
    </row>
    <row r="157" spans="1:6" x14ac:dyDescent="0.25">
      <c r="A157" s="241" t="s">
        <v>1069</v>
      </c>
      <c r="B157" s="371" t="s">
        <v>525</v>
      </c>
      <c r="C157" s="2" t="str">
        <f>"619217513063"</f>
        <v>619217513063</v>
      </c>
      <c r="D157" s="2">
        <v>75.88</v>
      </c>
      <c r="E157" s="225" t="s">
        <v>419</v>
      </c>
      <c r="F157" s="285" t="s">
        <v>580</v>
      </c>
    </row>
    <row r="158" spans="1:6" x14ac:dyDescent="0.25">
      <c r="A158" s="241" t="s">
        <v>1069</v>
      </c>
      <c r="B158" s="371" t="s">
        <v>525</v>
      </c>
      <c r="C158" s="2" t="str">
        <f>"619217513062"</f>
        <v>619217513062</v>
      </c>
      <c r="D158" s="2">
        <v>75.88</v>
      </c>
      <c r="E158" s="225" t="s">
        <v>419</v>
      </c>
      <c r="F158" s="285" t="s">
        <v>581</v>
      </c>
    </row>
    <row r="159" spans="1:6" x14ac:dyDescent="0.25">
      <c r="A159" s="241" t="s">
        <v>1069</v>
      </c>
      <c r="B159" s="371" t="s">
        <v>525</v>
      </c>
      <c r="C159" s="2" t="str">
        <f>"619217513068"</f>
        <v>619217513068</v>
      </c>
      <c r="D159" s="2">
        <v>75.38</v>
      </c>
      <c r="E159" s="225" t="s">
        <v>419</v>
      </c>
      <c r="F159" s="285" t="s">
        <v>582</v>
      </c>
    </row>
    <row r="160" spans="1:6" x14ac:dyDescent="0.25">
      <c r="A160" s="241" t="s">
        <v>1069</v>
      </c>
      <c r="B160" s="371" t="s">
        <v>525</v>
      </c>
      <c r="C160" s="2" t="str">
        <f>"619217493077"</f>
        <v>619217493077</v>
      </c>
      <c r="D160" s="2">
        <v>54.63</v>
      </c>
      <c r="E160" s="226" t="s">
        <v>420</v>
      </c>
      <c r="F160" s="285" t="s">
        <v>583</v>
      </c>
    </row>
    <row r="161" spans="1:6" x14ac:dyDescent="0.25">
      <c r="A161" s="241" t="s">
        <v>1069</v>
      </c>
      <c r="B161" s="371" t="s">
        <v>525</v>
      </c>
      <c r="C161" s="2" t="str">
        <f>"619217513073"</f>
        <v>619217513073</v>
      </c>
      <c r="D161" s="2">
        <v>48.25</v>
      </c>
      <c r="E161" s="226" t="s">
        <v>420</v>
      </c>
      <c r="F161" s="285" t="s">
        <v>584</v>
      </c>
    </row>
    <row r="162" spans="1:6" x14ac:dyDescent="0.25">
      <c r="A162" s="606" t="s">
        <v>1069</v>
      </c>
      <c r="B162" s="489" t="s">
        <v>525</v>
      </c>
      <c r="C162" s="179" t="str">
        <f>"619217513075"</f>
        <v>619217513075</v>
      </c>
      <c r="D162" s="179">
        <v>40.130000000000003</v>
      </c>
      <c r="E162" s="383" t="s">
        <v>420</v>
      </c>
      <c r="F162" s="607" t="s">
        <v>585</v>
      </c>
    </row>
    <row r="163" spans="1:6" x14ac:dyDescent="0.25">
      <c r="A163" s="26" t="s">
        <v>1105</v>
      </c>
      <c r="B163" s="14" t="s">
        <v>316</v>
      </c>
      <c r="C163" s="2">
        <v>19201800045</v>
      </c>
      <c r="D163" s="2">
        <v>86.09</v>
      </c>
      <c r="E163" s="225" t="s">
        <v>419</v>
      </c>
      <c r="F163" s="2">
        <v>1</v>
      </c>
    </row>
    <row r="164" spans="1:6" x14ac:dyDescent="0.25">
      <c r="A164" s="26" t="s">
        <v>1105</v>
      </c>
      <c r="B164" s="14" t="s">
        <v>316</v>
      </c>
      <c r="C164" s="2">
        <v>19201800051</v>
      </c>
      <c r="D164" s="2">
        <v>83.11</v>
      </c>
      <c r="E164" s="225" t="s">
        <v>419</v>
      </c>
      <c r="F164" s="2">
        <v>2</v>
      </c>
    </row>
    <row r="165" spans="1:6" x14ac:dyDescent="0.25">
      <c r="A165" s="26" t="s">
        <v>1105</v>
      </c>
      <c r="B165" s="14" t="s">
        <v>316</v>
      </c>
      <c r="C165" s="2">
        <v>19201800081</v>
      </c>
      <c r="D165" s="2">
        <v>82.39</v>
      </c>
      <c r="E165" s="225" t="s">
        <v>419</v>
      </c>
      <c r="F165" s="2">
        <v>3</v>
      </c>
    </row>
    <row r="166" spans="1:6" x14ac:dyDescent="0.25">
      <c r="A166" s="26" t="s">
        <v>1105</v>
      </c>
      <c r="B166" s="14" t="s">
        <v>316</v>
      </c>
      <c r="C166" s="2">
        <v>19201800068</v>
      </c>
      <c r="D166" s="2">
        <v>81.099999999999994</v>
      </c>
      <c r="E166" s="225" t="s">
        <v>419</v>
      </c>
      <c r="F166" s="2">
        <v>4</v>
      </c>
    </row>
    <row r="167" spans="1:6" x14ac:dyDescent="0.25">
      <c r="A167" s="26" t="s">
        <v>1105</v>
      </c>
      <c r="B167" s="14" t="s">
        <v>316</v>
      </c>
      <c r="C167" s="2">
        <v>19201800039</v>
      </c>
      <c r="D167" s="2">
        <v>80.930000000000007</v>
      </c>
      <c r="E167" s="225" t="s">
        <v>419</v>
      </c>
      <c r="F167" s="2">
        <v>5</v>
      </c>
    </row>
    <row r="168" spans="1:6" x14ac:dyDescent="0.25">
      <c r="A168" s="26" t="s">
        <v>1105</v>
      </c>
      <c r="B168" s="14" t="s">
        <v>316</v>
      </c>
      <c r="C168" s="2">
        <v>19201800036</v>
      </c>
      <c r="D168" s="2">
        <v>80.650000000000006</v>
      </c>
      <c r="E168" s="225" t="s">
        <v>419</v>
      </c>
      <c r="F168" s="2">
        <v>6</v>
      </c>
    </row>
    <row r="169" spans="1:6" x14ac:dyDescent="0.25">
      <c r="A169" s="26" t="s">
        <v>1105</v>
      </c>
      <c r="B169" s="14" t="s">
        <v>316</v>
      </c>
      <c r="C169" s="2">
        <v>19201800080</v>
      </c>
      <c r="D169" s="2">
        <v>79.37</v>
      </c>
      <c r="E169" s="225" t="s">
        <v>419</v>
      </c>
      <c r="F169" s="2">
        <v>7</v>
      </c>
    </row>
    <row r="170" spans="1:6" x14ac:dyDescent="0.25">
      <c r="A170" s="26" t="s">
        <v>1105</v>
      </c>
      <c r="B170" s="14" t="s">
        <v>316</v>
      </c>
      <c r="C170" s="2">
        <v>19201800037</v>
      </c>
      <c r="D170" s="2">
        <v>79.239999999999995</v>
      </c>
      <c r="E170" s="225" t="s">
        <v>419</v>
      </c>
      <c r="F170" s="2">
        <v>8</v>
      </c>
    </row>
    <row r="171" spans="1:6" x14ac:dyDescent="0.25">
      <c r="A171" s="26" t="s">
        <v>1105</v>
      </c>
      <c r="B171" s="14" t="s">
        <v>316</v>
      </c>
      <c r="C171" s="2">
        <v>19201800060</v>
      </c>
      <c r="D171" s="2">
        <v>77.959999999999994</v>
      </c>
      <c r="E171" s="225" t="s">
        <v>419</v>
      </c>
      <c r="F171" s="2">
        <v>9</v>
      </c>
    </row>
    <row r="172" spans="1:6" x14ac:dyDescent="0.25">
      <c r="A172" s="26" t="s">
        <v>1105</v>
      </c>
      <c r="B172" s="14" t="s">
        <v>316</v>
      </c>
      <c r="C172" s="2">
        <v>19201800056</v>
      </c>
      <c r="D172" s="2">
        <v>76.36</v>
      </c>
      <c r="E172" s="225" t="s">
        <v>419</v>
      </c>
      <c r="F172" s="2">
        <v>10</v>
      </c>
    </row>
    <row r="173" spans="1:6" x14ac:dyDescent="0.25">
      <c r="A173" s="26" t="s">
        <v>1105</v>
      </c>
      <c r="B173" s="14" t="s">
        <v>316</v>
      </c>
      <c r="C173" s="2">
        <v>19201800069</v>
      </c>
      <c r="D173" s="2">
        <v>75.08</v>
      </c>
      <c r="E173" s="225" t="s">
        <v>419</v>
      </c>
      <c r="F173" s="2">
        <v>11</v>
      </c>
    </row>
    <row r="174" spans="1:6" x14ac:dyDescent="0.25">
      <c r="A174" s="26" t="s">
        <v>1105</v>
      </c>
      <c r="B174" s="14" t="s">
        <v>316</v>
      </c>
      <c r="C174" s="2">
        <v>19201800053</v>
      </c>
      <c r="D174" s="2">
        <v>74.790000000000006</v>
      </c>
      <c r="E174" s="225" t="s">
        <v>419</v>
      </c>
      <c r="F174" s="2">
        <v>12</v>
      </c>
    </row>
    <row r="175" spans="1:6" x14ac:dyDescent="0.25">
      <c r="A175" s="26" t="s">
        <v>1105</v>
      </c>
      <c r="B175" s="360" t="s">
        <v>316</v>
      </c>
      <c r="C175" s="179">
        <v>19201800084</v>
      </c>
      <c r="D175" s="179">
        <v>72.22</v>
      </c>
      <c r="E175" s="366" t="s">
        <v>419</v>
      </c>
      <c r="F175" s="179">
        <v>13</v>
      </c>
    </row>
    <row r="176" spans="1:6" x14ac:dyDescent="0.25">
      <c r="A176" s="26" t="s">
        <v>1105</v>
      </c>
      <c r="B176" s="5" t="s">
        <v>333</v>
      </c>
      <c r="C176" s="2">
        <v>19201800156</v>
      </c>
      <c r="D176" s="2">
        <v>80.66</v>
      </c>
      <c r="E176" s="225" t="s">
        <v>419</v>
      </c>
      <c r="F176" s="26">
        <v>1</v>
      </c>
    </row>
    <row r="177" spans="1:6" x14ac:dyDescent="0.25">
      <c r="A177" s="26" t="s">
        <v>1105</v>
      </c>
      <c r="B177" s="5" t="s">
        <v>333</v>
      </c>
      <c r="C177" s="2">
        <v>19201800058</v>
      </c>
      <c r="D177" s="2">
        <v>79.650000000000006</v>
      </c>
      <c r="E177" s="225" t="s">
        <v>419</v>
      </c>
      <c r="F177" s="26">
        <v>2</v>
      </c>
    </row>
    <row r="178" spans="1:6" x14ac:dyDescent="0.25">
      <c r="A178" s="26" t="s">
        <v>1105</v>
      </c>
      <c r="B178" s="5" t="s">
        <v>341</v>
      </c>
      <c r="C178" s="3">
        <v>19201800067</v>
      </c>
      <c r="D178" s="2">
        <v>79.94</v>
      </c>
      <c r="E178" s="225" t="s">
        <v>419</v>
      </c>
      <c r="F178" s="26">
        <v>1</v>
      </c>
    </row>
    <row r="179" spans="1:6" x14ac:dyDescent="0.25">
      <c r="A179" s="26" t="s">
        <v>1105</v>
      </c>
      <c r="B179" s="5" t="s">
        <v>341</v>
      </c>
      <c r="C179" s="2">
        <v>19201800091</v>
      </c>
      <c r="D179" s="2">
        <v>79.23</v>
      </c>
      <c r="E179" s="225" t="s">
        <v>419</v>
      </c>
      <c r="F179" s="26">
        <v>2</v>
      </c>
    </row>
    <row r="180" spans="1:6" x14ac:dyDescent="0.25">
      <c r="A180" s="26" t="s">
        <v>1105</v>
      </c>
      <c r="B180" s="5" t="s">
        <v>341</v>
      </c>
      <c r="C180" s="2">
        <v>19201800032</v>
      </c>
      <c r="D180" s="2">
        <v>78.09</v>
      </c>
      <c r="E180" s="225" t="s">
        <v>419</v>
      </c>
      <c r="F180" s="26">
        <v>3</v>
      </c>
    </row>
    <row r="181" spans="1:6" x14ac:dyDescent="0.25">
      <c r="A181" s="26" t="s">
        <v>1105</v>
      </c>
      <c r="B181" s="5" t="s">
        <v>341</v>
      </c>
      <c r="C181" s="2">
        <v>19201800085</v>
      </c>
      <c r="D181" s="2">
        <v>77.209999999999994</v>
      </c>
      <c r="E181" s="225" t="s">
        <v>419</v>
      </c>
      <c r="F181" s="26">
        <v>4</v>
      </c>
    </row>
    <row r="182" spans="1:6" x14ac:dyDescent="0.25">
      <c r="A182" s="26" t="s">
        <v>1105</v>
      </c>
      <c r="B182" s="5" t="s">
        <v>341</v>
      </c>
      <c r="C182" s="2">
        <v>19201800030</v>
      </c>
      <c r="D182" s="2">
        <v>76.95</v>
      </c>
      <c r="E182" s="225" t="s">
        <v>419</v>
      </c>
      <c r="F182" s="26">
        <v>5</v>
      </c>
    </row>
    <row r="183" spans="1:6" x14ac:dyDescent="0.25">
      <c r="A183" s="26" t="s">
        <v>1105</v>
      </c>
      <c r="B183" s="5" t="s">
        <v>342</v>
      </c>
      <c r="C183" s="2">
        <v>19201800059</v>
      </c>
      <c r="D183" s="2">
        <v>80.930000000000007</v>
      </c>
      <c r="E183" s="225" t="s">
        <v>419</v>
      </c>
      <c r="F183" s="26">
        <v>1</v>
      </c>
    </row>
    <row r="184" spans="1:6" x14ac:dyDescent="0.25">
      <c r="A184" s="26" t="s">
        <v>1105</v>
      </c>
      <c r="B184" s="5" t="s">
        <v>342</v>
      </c>
      <c r="C184" s="2">
        <v>19201800033</v>
      </c>
      <c r="D184" s="2">
        <v>79.819999999999993</v>
      </c>
      <c r="E184" s="225" t="s">
        <v>419</v>
      </c>
      <c r="F184" s="26">
        <v>2</v>
      </c>
    </row>
    <row r="185" spans="1:6" x14ac:dyDescent="0.25">
      <c r="A185" s="26" t="s">
        <v>1105</v>
      </c>
      <c r="B185" s="5" t="s">
        <v>342</v>
      </c>
      <c r="C185" s="2">
        <v>19201800052</v>
      </c>
      <c r="D185" s="2">
        <v>77.790000000000006</v>
      </c>
      <c r="E185" s="225" t="s">
        <v>419</v>
      </c>
      <c r="F185" s="26">
        <v>3</v>
      </c>
    </row>
    <row r="186" spans="1:6" x14ac:dyDescent="0.25">
      <c r="A186" s="26" t="s">
        <v>1105</v>
      </c>
      <c r="B186" s="5" t="s">
        <v>342</v>
      </c>
      <c r="C186" s="2">
        <v>19201800077</v>
      </c>
      <c r="D186" s="2">
        <v>77.349999999999994</v>
      </c>
      <c r="E186" s="225" t="s">
        <v>419</v>
      </c>
      <c r="F186" s="26">
        <v>4</v>
      </c>
    </row>
    <row r="187" spans="1:6" x14ac:dyDescent="0.25">
      <c r="A187" s="26" t="s">
        <v>1105</v>
      </c>
      <c r="B187" s="5" t="s">
        <v>342</v>
      </c>
      <c r="C187" s="2">
        <v>19201800057</v>
      </c>
      <c r="D187" s="2">
        <v>76.650000000000006</v>
      </c>
      <c r="E187" s="225" t="s">
        <v>419</v>
      </c>
      <c r="F187" s="26">
        <v>5</v>
      </c>
    </row>
    <row r="188" spans="1:6" x14ac:dyDescent="0.25">
      <c r="A188" s="26" t="s">
        <v>1105</v>
      </c>
      <c r="B188" s="106" t="s">
        <v>342</v>
      </c>
      <c r="C188" s="179">
        <v>19201800038</v>
      </c>
      <c r="D188" s="179">
        <v>70.38</v>
      </c>
      <c r="E188" s="366" t="s">
        <v>419</v>
      </c>
      <c r="F188" s="375">
        <v>6</v>
      </c>
    </row>
    <row r="189" spans="1:6" x14ac:dyDescent="0.25">
      <c r="A189" s="26" t="s">
        <v>1105</v>
      </c>
      <c r="B189" s="5" t="s">
        <v>364</v>
      </c>
      <c r="C189" s="2">
        <v>19201800082</v>
      </c>
      <c r="D189" s="2">
        <v>80.099999999999994</v>
      </c>
      <c r="E189" s="225" t="s">
        <v>419</v>
      </c>
      <c r="F189" s="26">
        <v>1</v>
      </c>
    </row>
    <row r="190" spans="1:6" x14ac:dyDescent="0.25">
      <c r="A190" s="26" t="s">
        <v>1105</v>
      </c>
      <c r="B190" s="5" t="s">
        <v>364</v>
      </c>
      <c r="C190" s="2">
        <v>19201800029</v>
      </c>
      <c r="D190" s="2">
        <v>76.930000000000007</v>
      </c>
      <c r="E190" s="225" t="s">
        <v>419</v>
      </c>
      <c r="F190" s="26">
        <v>2</v>
      </c>
    </row>
    <row r="191" spans="1:6" x14ac:dyDescent="0.25">
      <c r="A191" s="26" t="s">
        <v>1105</v>
      </c>
      <c r="B191" s="5" t="s">
        <v>364</v>
      </c>
      <c r="C191" s="2">
        <v>19201800042</v>
      </c>
      <c r="D191" s="2">
        <v>76.209999999999994</v>
      </c>
      <c r="E191" s="225" t="s">
        <v>419</v>
      </c>
      <c r="F191" s="26">
        <v>3</v>
      </c>
    </row>
    <row r="192" spans="1:6" x14ac:dyDescent="0.25">
      <c r="A192" s="26" t="s">
        <v>1105</v>
      </c>
      <c r="B192" s="106" t="s">
        <v>364</v>
      </c>
      <c r="C192" s="179">
        <v>19201800070</v>
      </c>
      <c r="D192" s="179">
        <v>74.8</v>
      </c>
      <c r="E192" s="366" t="s">
        <v>419</v>
      </c>
      <c r="F192" s="375">
        <v>4</v>
      </c>
    </row>
    <row r="193" spans="1:6" x14ac:dyDescent="0.25">
      <c r="A193" s="26" t="s">
        <v>1105</v>
      </c>
      <c r="B193" s="23" t="s">
        <v>365</v>
      </c>
      <c r="C193" s="2">
        <v>19201800035</v>
      </c>
      <c r="D193" s="2">
        <v>80.37</v>
      </c>
      <c r="E193" s="225" t="s">
        <v>419</v>
      </c>
      <c r="F193" s="26">
        <v>1</v>
      </c>
    </row>
    <row r="194" spans="1:6" x14ac:dyDescent="0.25">
      <c r="A194" s="26" t="s">
        <v>1105</v>
      </c>
      <c r="B194" s="23" t="s">
        <v>365</v>
      </c>
      <c r="C194" s="2">
        <v>19201800079</v>
      </c>
      <c r="D194" s="2">
        <v>76.66</v>
      </c>
      <c r="E194" s="225" t="s">
        <v>419</v>
      </c>
      <c r="F194" s="26">
        <v>2</v>
      </c>
    </row>
    <row r="195" spans="1:6" x14ac:dyDescent="0.25">
      <c r="A195" s="26" t="s">
        <v>1105</v>
      </c>
      <c r="B195" s="23" t="s">
        <v>365</v>
      </c>
      <c r="C195" s="2">
        <v>19201800041</v>
      </c>
      <c r="D195" s="2">
        <v>74.5</v>
      </c>
      <c r="E195" s="225" t="s">
        <v>419</v>
      </c>
      <c r="F195" s="26">
        <v>3</v>
      </c>
    </row>
    <row r="196" spans="1:6" x14ac:dyDescent="0.25">
      <c r="A196" s="26" t="s">
        <v>1105</v>
      </c>
      <c r="B196" s="23" t="s">
        <v>365</v>
      </c>
      <c r="C196" s="2">
        <v>19201800055</v>
      </c>
      <c r="D196" s="2"/>
      <c r="E196" s="226" t="s">
        <v>420</v>
      </c>
      <c r="F196" s="26">
        <v>4</v>
      </c>
    </row>
    <row r="197" spans="1:6" x14ac:dyDescent="0.25">
      <c r="A197" s="2" t="s">
        <v>1155</v>
      </c>
      <c r="B197" s="2" t="s">
        <v>1154</v>
      </c>
      <c r="C197">
        <v>19201800881</v>
      </c>
      <c r="D197">
        <v>78.650000000000006</v>
      </c>
      <c r="E197" s="265" t="s">
        <v>419</v>
      </c>
    </row>
    <row r="198" spans="1:6" x14ac:dyDescent="0.25">
      <c r="A198" s="179" t="s">
        <v>1155</v>
      </c>
      <c r="B198" s="179" t="s">
        <v>1154</v>
      </c>
      <c r="C198">
        <v>19201800859</v>
      </c>
      <c r="D198">
        <v>56.51</v>
      </c>
      <c r="E198" s="383" t="s">
        <v>420</v>
      </c>
    </row>
    <row r="199" spans="1:6" x14ac:dyDescent="0.25">
      <c r="A199" s="2" t="s">
        <v>1155</v>
      </c>
      <c r="B199" s="123" t="s">
        <v>509</v>
      </c>
      <c r="C199" s="2">
        <v>19201800872</v>
      </c>
      <c r="D199" s="2">
        <v>80.790000000000006</v>
      </c>
      <c r="E199" s="225" t="s">
        <v>419</v>
      </c>
    </row>
    <row r="200" spans="1:6" x14ac:dyDescent="0.25">
      <c r="A200" s="2" t="s">
        <v>1155</v>
      </c>
      <c r="B200" s="123" t="s">
        <v>509</v>
      </c>
      <c r="C200" s="2">
        <v>19201800885</v>
      </c>
      <c r="D200" s="2">
        <v>79.95</v>
      </c>
      <c r="E200" s="225" t="s">
        <v>419</v>
      </c>
    </row>
    <row r="201" spans="1:6" x14ac:dyDescent="0.25">
      <c r="A201" s="2" t="s">
        <v>1155</v>
      </c>
      <c r="B201" s="123" t="s">
        <v>509</v>
      </c>
      <c r="C201" s="2">
        <v>19201800863</v>
      </c>
      <c r="D201" s="2">
        <v>78.66</v>
      </c>
      <c r="E201" s="225" t="s">
        <v>419</v>
      </c>
    </row>
    <row r="202" spans="1:6" x14ac:dyDescent="0.25">
      <c r="A202" s="2" t="s">
        <v>1155</v>
      </c>
      <c r="B202" s="123" t="s">
        <v>509</v>
      </c>
      <c r="C202" s="2">
        <v>19201800887</v>
      </c>
      <c r="D202" s="2">
        <v>78.64</v>
      </c>
      <c r="E202" s="225" t="s">
        <v>419</v>
      </c>
    </row>
    <row r="203" spans="1:6" x14ac:dyDescent="0.25">
      <c r="A203" s="2" t="s">
        <v>1155</v>
      </c>
      <c r="B203" s="123" t="s">
        <v>509</v>
      </c>
      <c r="C203" s="2">
        <v>19201800875</v>
      </c>
      <c r="D203" s="2">
        <v>77.510000000000005</v>
      </c>
      <c r="E203" s="225" t="s">
        <v>419</v>
      </c>
    </row>
    <row r="204" spans="1:6" x14ac:dyDescent="0.25">
      <c r="A204" s="2" t="s">
        <v>1155</v>
      </c>
      <c r="B204" s="123" t="s">
        <v>509</v>
      </c>
      <c r="C204" s="2">
        <v>19201800888</v>
      </c>
      <c r="D204" s="2">
        <v>74.52</v>
      </c>
      <c r="E204" s="225" t="s">
        <v>419</v>
      </c>
    </row>
    <row r="205" spans="1:6" x14ac:dyDescent="0.25">
      <c r="A205" s="2" t="s">
        <v>1155</v>
      </c>
      <c r="B205" s="123" t="s">
        <v>509</v>
      </c>
      <c r="C205" s="2">
        <v>19201800866</v>
      </c>
      <c r="D205" s="2">
        <v>74.510000000000005</v>
      </c>
      <c r="E205" s="225" t="s">
        <v>419</v>
      </c>
    </row>
    <row r="206" spans="1:6" x14ac:dyDescent="0.25">
      <c r="A206" s="2" t="s">
        <v>1155</v>
      </c>
      <c r="B206" s="123" t="s">
        <v>509</v>
      </c>
      <c r="C206" s="2">
        <v>19201800877</v>
      </c>
      <c r="D206" s="2">
        <v>73.510000000000005</v>
      </c>
      <c r="E206" s="226" t="s">
        <v>420</v>
      </c>
    </row>
    <row r="207" spans="1:6" x14ac:dyDescent="0.25">
      <c r="A207" s="2" t="s">
        <v>1155</v>
      </c>
      <c r="B207" s="123" t="s">
        <v>509</v>
      </c>
      <c r="C207" s="2">
        <v>19201800867</v>
      </c>
      <c r="D207" s="2">
        <v>72.64</v>
      </c>
      <c r="E207" s="225" t="s">
        <v>419</v>
      </c>
    </row>
    <row r="208" spans="1:6" x14ac:dyDescent="0.25">
      <c r="A208" s="2" t="s">
        <v>1155</v>
      </c>
      <c r="B208" s="123" t="s">
        <v>509</v>
      </c>
      <c r="C208" s="2">
        <v>19201800871</v>
      </c>
      <c r="D208" s="2">
        <v>71.09</v>
      </c>
      <c r="E208" s="225" t="s">
        <v>419</v>
      </c>
    </row>
    <row r="209" spans="1:7" x14ac:dyDescent="0.25">
      <c r="A209" s="2" t="s">
        <v>1155</v>
      </c>
      <c r="B209" s="123" t="s">
        <v>509</v>
      </c>
      <c r="C209" s="2">
        <v>19201800880</v>
      </c>
      <c r="D209" s="2">
        <v>57.65</v>
      </c>
      <c r="E209" s="226" t="s">
        <v>420</v>
      </c>
    </row>
    <row r="210" spans="1:7" x14ac:dyDescent="0.25">
      <c r="A210" s="2" t="s">
        <v>1155</v>
      </c>
      <c r="B210" s="123" t="s">
        <v>509</v>
      </c>
      <c r="C210" s="2">
        <v>19201800862</v>
      </c>
      <c r="D210" s="2">
        <v>57.11</v>
      </c>
      <c r="E210" s="226" t="s">
        <v>420</v>
      </c>
    </row>
    <row r="211" spans="1:7" x14ac:dyDescent="0.25">
      <c r="A211" s="2" t="s">
        <v>1155</v>
      </c>
      <c r="B211" s="123" t="s">
        <v>509</v>
      </c>
      <c r="C211" s="2">
        <v>19201800874</v>
      </c>
      <c r="D211" s="2">
        <v>54.8</v>
      </c>
      <c r="E211" s="226" t="s">
        <v>420</v>
      </c>
    </row>
    <row r="212" spans="1:7" x14ac:dyDescent="0.25">
      <c r="A212" s="2" t="s">
        <v>1155</v>
      </c>
      <c r="B212" s="123" t="s">
        <v>509</v>
      </c>
      <c r="C212" s="2">
        <v>19201800883</v>
      </c>
      <c r="D212" s="2">
        <v>53.64</v>
      </c>
      <c r="E212" s="226" t="s">
        <v>420</v>
      </c>
    </row>
    <row r="213" spans="1:7" x14ac:dyDescent="0.25">
      <c r="A213" s="2" t="s">
        <v>1155</v>
      </c>
      <c r="B213" s="123" t="s">
        <v>509</v>
      </c>
      <c r="C213" s="2">
        <v>19201800876</v>
      </c>
      <c r="D213" s="2">
        <v>53.49</v>
      </c>
      <c r="E213" s="226" t="s">
        <v>420</v>
      </c>
    </row>
    <row r="214" spans="1:7" x14ac:dyDescent="0.25">
      <c r="A214" s="2" t="s">
        <v>1155</v>
      </c>
      <c r="B214" s="123" t="s">
        <v>509</v>
      </c>
      <c r="C214" s="2">
        <v>19201800878</v>
      </c>
      <c r="D214" s="2">
        <v>44.23</v>
      </c>
      <c r="E214" s="226" t="s">
        <v>420</v>
      </c>
    </row>
    <row r="215" spans="1:7" x14ac:dyDescent="0.25">
      <c r="A215" s="2" t="s">
        <v>1155</v>
      </c>
      <c r="B215" s="123" t="s">
        <v>525</v>
      </c>
      <c r="C215" s="2">
        <v>19201800879</v>
      </c>
      <c r="D215" s="2">
        <v>81.96</v>
      </c>
      <c r="E215" s="225" t="s">
        <v>419</v>
      </c>
    </row>
    <row r="216" spans="1:7" x14ac:dyDescent="0.25">
      <c r="A216" s="2" t="s">
        <v>1155</v>
      </c>
      <c r="B216" s="123" t="s">
        <v>525</v>
      </c>
      <c r="C216" s="2">
        <v>19201800856</v>
      </c>
      <c r="D216" s="2">
        <v>74.38</v>
      </c>
      <c r="E216" s="225" t="s">
        <v>419</v>
      </c>
    </row>
    <row r="217" spans="1:7" x14ac:dyDescent="0.25">
      <c r="A217" s="2" t="s">
        <v>1155</v>
      </c>
      <c r="B217" s="123" t="s">
        <v>525</v>
      </c>
      <c r="C217" s="2">
        <v>19201800865</v>
      </c>
      <c r="D217" s="2">
        <v>73.94</v>
      </c>
      <c r="E217" s="225" t="s">
        <v>419</v>
      </c>
    </row>
    <row r="218" spans="1:7" x14ac:dyDescent="0.25">
      <c r="A218" s="2" t="s">
        <v>1155</v>
      </c>
      <c r="B218" s="123" t="s">
        <v>525</v>
      </c>
      <c r="C218" s="2">
        <v>19201800886</v>
      </c>
      <c r="D218" s="2">
        <v>73.22</v>
      </c>
      <c r="E218" s="225" t="s">
        <v>419</v>
      </c>
    </row>
    <row r="219" spans="1:7" x14ac:dyDescent="0.25">
      <c r="A219" s="2" t="s">
        <v>1155</v>
      </c>
      <c r="B219" s="123" t="s">
        <v>525</v>
      </c>
      <c r="C219" s="2">
        <v>19201800870</v>
      </c>
      <c r="D219" s="2">
        <v>71.650000000000006</v>
      </c>
      <c r="E219" s="225" t="s">
        <v>419</v>
      </c>
    </row>
    <row r="220" spans="1:7" x14ac:dyDescent="0.25">
      <c r="A220" s="2" t="s">
        <v>1155</v>
      </c>
      <c r="B220" s="123" t="s">
        <v>525</v>
      </c>
      <c r="C220" s="2">
        <v>19201800868</v>
      </c>
      <c r="D220" s="2">
        <v>64.5</v>
      </c>
      <c r="E220" s="226" t="s">
        <v>420</v>
      </c>
    </row>
    <row r="221" spans="1:7" x14ac:dyDescent="0.25">
      <c r="A221" s="2" t="s">
        <v>1155</v>
      </c>
      <c r="B221" s="123" t="s">
        <v>535</v>
      </c>
      <c r="C221" s="2">
        <v>19201800884</v>
      </c>
      <c r="D221" s="2">
        <v>70.08</v>
      </c>
      <c r="E221" s="225" t="s">
        <v>419</v>
      </c>
    </row>
    <row r="222" spans="1:7" x14ac:dyDescent="0.25">
      <c r="A222" s="2" t="s">
        <v>1232</v>
      </c>
      <c r="B222" s="123" t="s">
        <v>316</v>
      </c>
      <c r="C222" s="2">
        <v>19202000160</v>
      </c>
      <c r="D222" s="2">
        <v>82.05</v>
      </c>
      <c r="E222" s="225" t="s">
        <v>419</v>
      </c>
      <c r="F222" s="647"/>
      <c r="G222" s="647"/>
    </row>
    <row r="223" spans="1:7" x14ac:dyDescent="0.25">
      <c r="A223" s="2" t="s">
        <v>1232</v>
      </c>
      <c r="B223" s="123" t="s">
        <v>316</v>
      </c>
      <c r="C223" s="2">
        <v>19202000169</v>
      </c>
      <c r="D223" s="2">
        <v>81.55</v>
      </c>
      <c r="E223" s="225" t="s">
        <v>419</v>
      </c>
      <c r="F223" s="647"/>
      <c r="G223" s="647"/>
    </row>
    <row r="224" spans="1:7" x14ac:dyDescent="0.25">
      <c r="A224" s="2" t="s">
        <v>1232</v>
      </c>
      <c r="B224" s="123" t="s">
        <v>316</v>
      </c>
      <c r="C224" s="2">
        <v>19202000175</v>
      </c>
      <c r="D224" s="2">
        <v>79.75</v>
      </c>
      <c r="E224" s="225" t="s">
        <v>419</v>
      </c>
      <c r="F224" s="647"/>
      <c r="G224" s="647"/>
    </row>
    <row r="225" spans="1:7" x14ac:dyDescent="0.25">
      <c r="A225" s="2" t="s">
        <v>1232</v>
      </c>
      <c r="B225" s="123" t="s">
        <v>316</v>
      </c>
      <c r="C225" s="2">
        <v>19202000147</v>
      </c>
      <c r="D225" s="2">
        <v>79.2</v>
      </c>
      <c r="E225" s="225" t="s">
        <v>419</v>
      </c>
      <c r="F225" s="647"/>
      <c r="G225" s="647"/>
    </row>
    <row r="226" spans="1:7" x14ac:dyDescent="0.25">
      <c r="A226" s="2" t="s">
        <v>1232</v>
      </c>
      <c r="B226" s="123" t="s">
        <v>316</v>
      </c>
      <c r="C226" s="2">
        <v>19202000132</v>
      </c>
      <c r="D226" s="2">
        <v>78.91</v>
      </c>
      <c r="E226" s="225" t="s">
        <v>419</v>
      </c>
      <c r="F226" s="647"/>
      <c r="G226" s="647"/>
    </row>
    <row r="227" spans="1:7" x14ac:dyDescent="0.25">
      <c r="A227" s="2" t="s">
        <v>1232</v>
      </c>
      <c r="B227" s="123" t="s">
        <v>316</v>
      </c>
      <c r="C227" s="2">
        <v>19202000152</v>
      </c>
      <c r="D227" s="2">
        <v>78.900000000000006</v>
      </c>
      <c r="E227" s="225" t="s">
        <v>419</v>
      </c>
      <c r="F227" s="647"/>
      <c r="G227" s="647"/>
    </row>
    <row r="228" spans="1:7" x14ac:dyDescent="0.25">
      <c r="A228" s="2" t="s">
        <v>1232</v>
      </c>
      <c r="B228" s="123" t="s">
        <v>316</v>
      </c>
      <c r="C228" s="2">
        <v>19202000118</v>
      </c>
      <c r="D228" s="2">
        <v>78.73</v>
      </c>
      <c r="E228" s="225" t="s">
        <v>419</v>
      </c>
      <c r="F228" s="647"/>
      <c r="G228" s="647"/>
    </row>
    <row r="229" spans="1:7" x14ac:dyDescent="0.25">
      <c r="A229" s="2" t="s">
        <v>1232</v>
      </c>
      <c r="B229" s="123" t="s">
        <v>316</v>
      </c>
      <c r="C229" s="2">
        <v>19202000174</v>
      </c>
      <c r="D229" s="2">
        <v>78.72</v>
      </c>
      <c r="E229" s="225" t="s">
        <v>419</v>
      </c>
      <c r="F229" s="647"/>
      <c r="G229" s="647"/>
    </row>
    <row r="230" spans="1:7" x14ac:dyDescent="0.25">
      <c r="A230" s="2" t="s">
        <v>1232</v>
      </c>
      <c r="B230" s="123" t="s">
        <v>316</v>
      </c>
      <c r="C230" s="2">
        <v>19202000164</v>
      </c>
      <c r="D230" s="2">
        <v>78.39</v>
      </c>
      <c r="E230" s="225" t="s">
        <v>419</v>
      </c>
      <c r="F230" s="647"/>
      <c r="G230" s="647"/>
    </row>
    <row r="231" spans="1:7" x14ac:dyDescent="0.25">
      <c r="A231" s="2" t="s">
        <v>1232</v>
      </c>
      <c r="B231" s="123" t="s">
        <v>316</v>
      </c>
      <c r="C231" s="2">
        <v>19202000130</v>
      </c>
      <c r="D231" s="2">
        <v>77.760000000000005</v>
      </c>
      <c r="E231" s="225" t="s">
        <v>419</v>
      </c>
      <c r="F231" s="647"/>
      <c r="G231" s="647"/>
    </row>
    <row r="232" spans="1:7" x14ac:dyDescent="0.25">
      <c r="A232" s="2" t="s">
        <v>1232</v>
      </c>
      <c r="B232" s="123" t="s">
        <v>316</v>
      </c>
      <c r="C232" s="2">
        <v>19202000125</v>
      </c>
      <c r="D232" s="2">
        <v>75.59</v>
      </c>
      <c r="E232" s="225" t="s">
        <v>419</v>
      </c>
      <c r="F232" s="647"/>
      <c r="G232" s="647"/>
    </row>
    <row r="233" spans="1:7" x14ac:dyDescent="0.25">
      <c r="A233" s="2" t="s">
        <v>1232</v>
      </c>
      <c r="B233" s="123" t="s">
        <v>316</v>
      </c>
      <c r="C233" s="2">
        <v>19202000155</v>
      </c>
      <c r="D233" s="2">
        <v>75.38</v>
      </c>
      <c r="E233" s="225" t="s">
        <v>419</v>
      </c>
      <c r="F233" s="647"/>
      <c r="G233" s="647"/>
    </row>
    <row r="234" spans="1:7" x14ac:dyDescent="0.25">
      <c r="A234" s="2" t="s">
        <v>1232</v>
      </c>
      <c r="B234" s="123" t="s">
        <v>316</v>
      </c>
      <c r="C234" s="2">
        <v>19202000144</v>
      </c>
      <c r="D234" s="2">
        <v>74.260000000000005</v>
      </c>
      <c r="E234" s="225" t="s">
        <v>419</v>
      </c>
      <c r="F234" s="647"/>
      <c r="G234" s="647"/>
    </row>
    <row r="235" spans="1:7" x14ac:dyDescent="0.25">
      <c r="A235" s="2" t="s">
        <v>1232</v>
      </c>
      <c r="B235" s="123" t="s">
        <v>316</v>
      </c>
      <c r="C235" s="2">
        <v>19202000142</v>
      </c>
      <c r="D235" s="2">
        <v>74.22</v>
      </c>
      <c r="E235" s="225" t="s">
        <v>419</v>
      </c>
      <c r="F235" s="647"/>
      <c r="G235" s="647"/>
    </row>
    <row r="236" spans="1:7" x14ac:dyDescent="0.25">
      <c r="A236" s="2" t="s">
        <v>1232</v>
      </c>
      <c r="B236" s="123" t="s">
        <v>316</v>
      </c>
      <c r="C236" s="2">
        <v>19202000166</v>
      </c>
      <c r="D236" s="2">
        <v>73.709999999999994</v>
      </c>
      <c r="E236" s="225" t="s">
        <v>419</v>
      </c>
      <c r="F236" s="647"/>
      <c r="G236" s="647"/>
    </row>
    <row r="237" spans="1:7" x14ac:dyDescent="0.25">
      <c r="A237" s="2" t="s">
        <v>1232</v>
      </c>
      <c r="B237" s="123" t="s">
        <v>316</v>
      </c>
      <c r="C237" s="2">
        <v>19202000189</v>
      </c>
      <c r="D237" s="2">
        <v>73.239999999999995</v>
      </c>
      <c r="E237" s="225" t="s">
        <v>419</v>
      </c>
      <c r="F237" s="647"/>
      <c r="G237" s="647"/>
    </row>
    <row r="238" spans="1:7" x14ac:dyDescent="0.25">
      <c r="A238" s="2" t="s">
        <v>1232</v>
      </c>
      <c r="B238" s="123" t="s">
        <v>316</v>
      </c>
      <c r="C238" s="2">
        <v>19202000168</v>
      </c>
      <c r="D238" s="2">
        <v>69.92</v>
      </c>
      <c r="E238" s="225" t="s">
        <v>419</v>
      </c>
      <c r="F238" s="647"/>
      <c r="G238" s="647"/>
    </row>
    <row r="239" spans="1:7" x14ac:dyDescent="0.25">
      <c r="A239" s="2" t="s">
        <v>1232</v>
      </c>
      <c r="B239" s="123" t="s">
        <v>316</v>
      </c>
      <c r="C239" s="2">
        <v>19202000167</v>
      </c>
      <c r="D239" s="2">
        <v>66.25</v>
      </c>
      <c r="E239" s="225" t="s">
        <v>419</v>
      </c>
      <c r="F239" s="647"/>
      <c r="G239" s="647"/>
    </row>
    <row r="240" spans="1:7" x14ac:dyDescent="0.25">
      <c r="A240" s="2" t="s">
        <v>1232</v>
      </c>
      <c r="B240" s="123" t="s">
        <v>316</v>
      </c>
      <c r="C240" s="2">
        <v>19202000190</v>
      </c>
      <c r="D240" s="2">
        <v>64.73</v>
      </c>
      <c r="E240" s="226" t="s">
        <v>420</v>
      </c>
      <c r="F240" s="647"/>
      <c r="G240" s="647"/>
    </row>
    <row r="241" spans="1:7" x14ac:dyDescent="0.25">
      <c r="A241" s="2" t="s">
        <v>1232</v>
      </c>
      <c r="B241" s="123" t="s">
        <v>316</v>
      </c>
      <c r="C241" s="2">
        <v>19202000183</v>
      </c>
      <c r="D241" s="2">
        <v>64.25</v>
      </c>
      <c r="E241" s="225" t="s">
        <v>419</v>
      </c>
      <c r="F241" s="647"/>
      <c r="G241" s="647"/>
    </row>
    <row r="242" spans="1:7" x14ac:dyDescent="0.25">
      <c r="A242" s="2" t="s">
        <v>1232</v>
      </c>
      <c r="B242" s="123" t="s">
        <v>316</v>
      </c>
      <c r="C242" s="2">
        <v>19202000121</v>
      </c>
      <c r="D242" s="2">
        <v>63.25</v>
      </c>
      <c r="E242" s="226" t="s">
        <v>420</v>
      </c>
      <c r="F242" s="647"/>
      <c r="G242" s="647"/>
    </row>
    <row r="243" spans="1:7" x14ac:dyDescent="0.25">
      <c r="A243" s="2" t="s">
        <v>1232</v>
      </c>
      <c r="B243" s="123" t="s">
        <v>316</v>
      </c>
      <c r="C243" s="2">
        <v>19202000158</v>
      </c>
      <c r="D243" s="2">
        <v>61.58</v>
      </c>
      <c r="E243" s="226" t="s">
        <v>420</v>
      </c>
      <c r="F243" s="647"/>
      <c r="G243" s="647"/>
    </row>
    <row r="244" spans="1:7" x14ac:dyDescent="0.25">
      <c r="A244" s="2" t="s">
        <v>1232</v>
      </c>
      <c r="B244" s="123" t="s">
        <v>316</v>
      </c>
      <c r="C244" s="2">
        <v>19202000157</v>
      </c>
      <c r="D244" s="2">
        <v>60.07</v>
      </c>
      <c r="E244" s="226" t="s">
        <v>420</v>
      </c>
      <c r="F244" s="647"/>
      <c r="G244" s="647"/>
    </row>
    <row r="245" spans="1:7" x14ac:dyDescent="0.25">
      <c r="A245" s="2" t="s">
        <v>1232</v>
      </c>
      <c r="B245" s="123" t="s">
        <v>316</v>
      </c>
      <c r="C245" s="2">
        <v>19202000138</v>
      </c>
      <c r="D245" s="2">
        <v>59.07</v>
      </c>
      <c r="E245" s="226" t="s">
        <v>420</v>
      </c>
      <c r="F245" s="647"/>
      <c r="G245" s="647"/>
    </row>
    <row r="246" spans="1:7" x14ac:dyDescent="0.25">
      <c r="A246" s="2" t="s">
        <v>1232</v>
      </c>
      <c r="B246" s="123" t="s">
        <v>316</v>
      </c>
      <c r="C246" s="2">
        <v>19202000178</v>
      </c>
      <c r="D246" s="2">
        <v>58.57</v>
      </c>
      <c r="E246" s="226" t="s">
        <v>420</v>
      </c>
      <c r="F246" s="647"/>
      <c r="G246" s="647"/>
    </row>
    <row r="247" spans="1:7" x14ac:dyDescent="0.25">
      <c r="A247" s="2" t="s">
        <v>1232</v>
      </c>
      <c r="B247" s="123" t="s">
        <v>316</v>
      </c>
      <c r="C247" s="2">
        <v>19202000112</v>
      </c>
      <c r="D247" s="2">
        <v>58.41</v>
      </c>
      <c r="E247" s="226" t="s">
        <v>420</v>
      </c>
      <c r="F247" s="647"/>
      <c r="G247" s="647"/>
    </row>
    <row r="248" spans="1:7" x14ac:dyDescent="0.25">
      <c r="A248" s="2" t="s">
        <v>1232</v>
      </c>
      <c r="B248" s="123" t="s">
        <v>316</v>
      </c>
      <c r="C248" s="2">
        <v>19202000187</v>
      </c>
      <c r="D248" s="2">
        <v>58.05</v>
      </c>
      <c r="E248" s="226" t="s">
        <v>420</v>
      </c>
      <c r="F248" s="647"/>
      <c r="G248" s="647"/>
    </row>
    <row r="249" spans="1:7" x14ac:dyDescent="0.25">
      <c r="A249" s="2" t="s">
        <v>1232</v>
      </c>
      <c r="B249" s="123" t="s">
        <v>316</v>
      </c>
      <c r="C249" s="2">
        <v>19202000173</v>
      </c>
      <c r="D249" s="2">
        <v>57.26</v>
      </c>
      <c r="E249" s="226" t="s">
        <v>420</v>
      </c>
      <c r="F249" s="647"/>
      <c r="G249" s="647"/>
    </row>
    <row r="250" spans="1:7" x14ac:dyDescent="0.25">
      <c r="A250" s="2" t="s">
        <v>1232</v>
      </c>
      <c r="B250" s="123" t="s">
        <v>316</v>
      </c>
      <c r="C250" s="2">
        <v>19202000154</v>
      </c>
      <c r="D250" s="2">
        <v>56.75</v>
      </c>
      <c r="E250" s="226" t="s">
        <v>420</v>
      </c>
      <c r="F250" s="647"/>
      <c r="G250" s="647"/>
    </row>
    <row r="251" spans="1:7" x14ac:dyDescent="0.25">
      <c r="A251" s="2" t="s">
        <v>1232</v>
      </c>
      <c r="B251" s="123" t="s">
        <v>316</v>
      </c>
      <c r="C251" s="2">
        <v>19202000123</v>
      </c>
      <c r="D251" s="2">
        <v>55.73</v>
      </c>
      <c r="E251" s="226" t="s">
        <v>420</v>
      </c>
      <c r="F251" s="647"/>
      <c r="G251" s="647"/>
    </row>
    <row r="252" spans="1:7" x14ac:dyDescent="0.25">
      <c r="A252" s="2" t="s">
        <v>1232</v>
      </c>
      <c r="B252" s="123" t="s">
        <v>341</v>
      </c>
      <c r="C252" s="2">
        <v>19202000182</v>
      </c>
      <c r="D252" s="2">
        <v>79.91</v>
      </c>
      <c r="E252" s="225" t="s">
        <v>419</v>
      </c>
      <c r="F252" s="647"/>
      <c r="G252" s="647"/>
    </row>
    <row r="253" spans="1:7" x14ac:dyDescent="0.25">
      <c r="A253" s="2" t="s">
        <v>1232</v>
      </c>
      <c r="B253" s="123" t="s">
        <v>341</v>
      </c>
      <c r="C253" s="2">
        <v>19202000153</v>
      </c>
      <c r="D253" s="2">
        <v>78.59</v>
      </c>
      <c r="E253" s="225" t="s">
        <v>419</v>
      </c>
      <c r="F253" s="647"/>
      <c r="G253" s="647"/>
    </row>
    <row r="254" spans="1:7" x14ac:dyDescent="0.25">
      <c r="A254" s="2" t="s">
        <v>1232</v>
      </c>
      <c r="B254" s="123" t="s">
        <v>341</v>
      </c>
      <c r="C254" s="2">
        <v>19202000179</v>
      </c>
      <c r="D254" s="2">
        <v>72.400000000000006</v>
      </c>
      <c r="E254" s="225" t="s">
        <v>419</v>
      </c>
      <c r="F254" s="647"/>
      <c r="G254" s="647"/>
    </row>
    <row r="255" spans="1:7" x14ac:dyDescent="0.25">
      <c r="A255" s="2" t="s">
        <v>1232</v>
      </c>
      <c r="B255" s="123" t="s">
        <v>341</v>
      </c>
      <c r="C255" s="2">
        <v>19202000148</v>
      </c>
      <c r="D255" s="2">
        <v>70.89</v>
      </c>
      <c r="E255" s="225" t="s">
        <v>419</v>
      </c>
      <c r="F255" s="647"/>
      <c r="G255" s="647"/>
    </row>
    <row r="256" spans="1:7" x14ac:dyDescent="0.25">
      <c r="A256" s="2" t="s">
        <v>1232</v>
      </c>
      <c r="B256" s="123" t="s">
        <v>341</v>
      </c>
      <c r="C256" s="2">
        <v>19202000162</v>
      </c>
      <c r="D256" s="2">
        <v>69.75</v>
      </c>
      <c r="E256" s="225" t="s">
        <v>419</v>
      </c>
      <c r="F256" s="647"/>
      <c r="G256" s="647"/>
    </row>
    <row r="257" spans="1:7" x14ac:dyDescent="0.25">
      <c r="A257" s="2" t="s">
        <v>1232</v>
      </c>
      <c r="B257" s="123" t="s">
        <v>341</v>
      </c>
      <c r="C257" s="2">
        <v>19202000140</v>
      </c>
      <c r="D257" s="2">
        <v>66.25</v>
      </c>
      <c r="E257" s="225" t="s">
        <v>419</v>
      </c>
      <c r="F257" s="647"/>
      <c r="G257" s="647"/>
    </row>
    <row r="258" spans="1:7" x14ac:dyDescent="0.25">
      <c r="A258" s="2" t="s">
        <v>1232</v>
      </c>
      <c r="B258" s="123" t="s">
        <v>341</v>
      </c>
      <c r="C258" s="2">
        <v>19202000136</v>
      </c>
      <c r="D258" s="2">
        <v>66.05</v>
      </c>
      <c r="E258" s="225" t="s">
        <v>419</v>
      </c>
      <c r="F258" s="647"/>
      <c r="G258" s="647"/>
    </row>
    <row r="259" spans="1:7" x14ac:dyDescent="0.25">
      <c r="A259" s="2" t="s">
        <v>1232</v>
      </c>
      <c r="B259" s="123" t="s">
        <v>341</v>
      </c>
      <c r="C259" s="2">
        <v>19202000171</v>
      </c>
      <c r="D259" s="2">
        <v>65.39</v>
      </c>
      <c r="E259" s="225" t="s">
        <v>419</v>
      </c>
      <c r="F259" s="647"/>
      <c r="G259" s="647"/>
    </row>
    <row r="260" spans="1:7" x14ac:dyDescent="0.25">
      <c r="A260" s="179" t="s">
        <v>1232</v>
      </c>
      <c r="B260" s="334" t="s">
        <v>341</v>
      </c>
      <c r="C260" s="179">
        <v>19202000176</v>
      </c>
      <c r="D260" s="179">
        <v>59.06</v>
      </c>
      <c r="E260" s="383" t="s">
        <v>420</v>
      </c>
      <c r="F260" s="647"/>
      <c r="G260" s="647"/>
    </row>
    <row r="261" spans="1:7" x14ac:dyDescent="0.25">
      <c r="A261" s="2" t="s">
        <v>1252</v>
      </c>
      <c r="B261" s="782" t="s">
        <v>509</v>
      </c>
      <c r="C261" s="754">
        <v>19202000534</v>
      </c>
      <c r="D261" s="783">
        <v>82.15</v>
      </c>
      <c r="E261" s="379" t="s">
        <v>419</v>
      </c>
    </row>
    <row r="262" spans="1:7" x14ac:dyDescent="0.25">
      <c r="A262" s="2" t="s">
        <v>1252</v>
      </c>
      <c r="B262" s="782" t="s">
        <v>509</v>
      </c>
      <c r="C262" s="753">
        <v>19202000533</v>
      </c>
      <c r="D262" s="783">
        <v>81.790000000000006</v>
      </c>
      <c r="E262" s="379" t="s">
        <v>419</v>
      </c>
    </row>
    <row r="263" spans="1:7" x14ac:dyDescent="0.25">
      <c r="A263" s="2" t="s">
        <v>1252</v>
      </c>
      <c r="B263" s="782" t="s">
        <v>509</v>
      </c>
      <c r="C263" s="753">
        <v>19202000543</v>
      </c>
      <c r="D263" s="783">
        <v>80.02</v>
      </c>
      <c r="E263" s="379" t="s">
        <v>419</v>
      </c>
    </row>
    <row r="264" spans="1:7" x14ac:dyDescent="0.25">
      <c r="A264" s="2" t="s">
        <v>1252</v>
      </c>
      <c r="B264" s="782" t="s">
        <v>509</v>
      </c>
      <c r="C264" s="753">
        <v>19202000536</v>
      </c>
      <c r="D264" s="783">
        <v>79.31</v>
      </c>
      <c r="E264" s="379" t="s">
        <v>419</v>
      </c>
    </row>
    <row r="265" spans="1:7" x14ac:dyDescent="0.25">
      <c r="A265" s="2" t="s">
        <v>1252</v>
      </c>
      <c r="B265" s="782" t="s">
        <v>509</v>
      </c>
      <c r="C265" s="753">
        <v>19202000551</v>
      </c>
      <c r="D265" s="783">
        <v>77.67</v>
      </c>
      <c r="E265" s="379" t="s">
        <v>419</v>
      </c>
    </row>
    <row r="266" spans="1:7" x14ac:dyDescent="0.25">
      <c r="A266" s="2" t="s">
        <v>1252</v>
      </c>
      <c r="B266" s="782" t="s">
        <v>509</v>
      </c>
      <c r="C266" s="753">
        <v>19202000553</v>
      </c>
      <c r="D266" s="783">
        <v>77.290000000000006</v>
      </c>
      <c r="E266" s="379" t="s">
        <v>419</v>
      </c>
    </row>
    <row r="267" spans="1:7" x14ac:dyDescent="0.25">
      <c r="A267" s="2" t="s">
        <v>1252</v>
      </c>
      <c r="B267" s="782" t="s">
        <v>509</v>
      </c>
      <c r="C267" s="753">
        <v>19202000552</v>
      </c>
      <c r="D267" s="783">
        <v>77.05</v>
      </c>
      <c r="E267" s="379" t="s">
        <v>419</v>
      </c>
    </row>
    <row r="268" spans="1:7" x14ac:dyDescent="0.25">
      <c r="A268" s="2" t="s">
        <v>1252</v>
      </c>
      <c r="B268" s="782" t="s">
        <v>509</v>
      </c>
      <c r="C268" s="753">
        <v>19202000549</v>
      </c>
      <c r="D268" s="783">
        <v>75.180000000000007</v>
      </c>
      <c r="E268" s="379" t="s">
        <v>419</v>
      </c>
    </row>
    <row r="269" spans="1:7" x14ac:dyDescent="0.25">
      <c r="A269" s="2" t="s">
        <v>1252</v>
      </c>
      <c r="B269" s="782" t="s">
        <v>509</v>
      </c>
      <c r="C269" s="753">
        <v>19202000529</v>
      </c>
      <c r="D269" s="783">
        <v>75.05</v>
      </c>
      <c r="E269" s="379" t="s">
        <v>419</v>
      </c>
    </row>
    <row r="270" spans="1:7" x14ac:dyDescent="0.25">
      <c r="A270" s="2" t="s">
        <v>1252</v>
      </c>
      <c r="B270" s="782" t="s">
        <v>509</v>
      </c>
      <c r="C270" s="753">
        <v>19202000547</v>
      </c>
      <c r="D270" s="783">
        <v>75.05</v>
      </c>
      <c r="E270" s="379" t="s">
        <v>419</v>
      </c>
    </row>
    <row r="271" spans="1:7" x14ac:dyDescent="0.25">
      <c r="A271" s="2" t="s">
        <v>1252</v>
      </c>
      <c r="B271" s="782" t="s">
        <v>509</v>
      </c>
      <c r="C271" s="753">
        <v>19202000535</v>
      </c>
      <c r="D271" s="783">
        <v>74.28</v>
      </c>
      <c r="E271" s="379" t="s">
        <v>419</v>
      </c>
    </row>
    <row r="272" spans="1:7" x14ac:dyDescent="0.25">
      <c r="A272" s="2" t="s">
        <v>1252</v>
      </c>
      <c r="B272" s="782" t="s">
        <v>509</v>
      </c>
      <c r="C272" s="753">
        <v>19202000548</v>
      </c>
      <c r="D272" s="783">
        <v>74.06</v>
      </c>
      <c r="E272" s="379" t="s">
        <v>419</v>
      </c>
    </row>
    <row r="273" spans="1:7" x14ac:dyDescent="0.25">
      <c r="A273" s="2" t="s">
        <v>1252</v>
      </c>
      <c r="B273" s="782" t="s">
        <v>509</v>
      </c>
      <c r="C273" s="753">
        <v>19202000540</v>
      </c>
      <c r="D273" s="783">
        <v>73.55</v>
      </c>
      <c r="E273" s="379" t="s">
        <v>419</v>
      </c>
    </row>
    <row r="274" spans="1:7" x14ac:dyDescent="0.25">
      <c r="A274" s="2" t="s">
        <v>1252</v>
      </c>
      <c r="B274" s="782" t="s">
        <v>509</v>
      </c>
      <c r="C274" s="753">
        <v>19202000541</v>
      </c>
      <c r="D274" s="783">
        <v>71.55</v>
      </c>
      <c r="E274" s="379" t="s">
        <v>419</v>
      </c>
    </row>
    <row r="275" spans="1:7" x14ac:dyDescent="0.25">
      <c r="A275" s="2" t="s">
        <v>1252</v>
      </c>
      <c r="B275" s="782" t="s">
        <v>509</v>
      </c>
      <c r="C275" s="753">
        <v>19202000537</v>
      </c>
      <c r="D275" s="783">
        <v>70.680000000000007</v>
      </c>
      <c r="E275" s="379" t="s">
        <v>419</v>
      </c>
    </row>
    <row r="276" spans="1:7" x14ac:dyDescent="0.25">
      <c r="A276" s="2" t="s">
        <v>1252</v>
      </c>
      <c r="B276" s="782" t="s">
        <v>509</v>
      </c>
      <c r="C276" s="753">
        <v>19202000554</v>
      </c>
      <c r="D276" s="783">
        <v>70.430000000000007</v>
      </c>
      <c r="E276" s="379" t="s">
        <v>419</v>
      </c>
    </row>
    <row r="277" spans="1:7" x14ac:dyDescent="0.25">
      <c r="A277" s="2" t="s">
        <v>1252</v>
      </c>
      <c r="B277" s="782" t="s">
        <v>509</v>
      </c>
      <c r="C277" s="754">
        <v>19202000550</v>
      </c>
      <c r="D277" s="783">
        <v>69.819999999999993</v>
      </c>
      <c r="E277" s="683" t="s">
        <v>420</v>
      </c>
    </row>
    <row r="278" spans="1:7" x14ac:dyDescent="0.25">
      <c r="A278" s="2" t="s">
        <v>1252</v>
      </c>
      <c r="B278" s="782" t="s">
        <v>509</v>
      </c>
      <c r="C278" s="754">
        <v>19202000542</v>
      </c>
      <c r="D278" s="783">
        <v>66.91</v>
      </c>
      <c r="E278" s="683" t="s">
        <v>420</v>
      </c>
    </row>
    <row r="279" spans="1:7" x14ac:dyDescent="0.25">
      <c r="A279" s="2" t="s">
        <v>1252</v>
      </c>
      <c r="B279" s="782" t="s">
        <v>509</v>
      </c>
      <c r="C279" s="754">
        <v>19202000546</v>
      </c>
      <c r="D279" s="783">
        <v>63.06</v>
      </c>
      <c r="E279" s="683" t="s">
        <v>420</v>
      </c>
    </row>
    <row r="280" spans="1:7" x14ac:dyDescent="0.25">
      <c r="A280" s="2" t="s">
        <v>1252</v>
      </c>
      <c r="B280" s="782" t="s">
        <v>509</v>
      </c>
      <c r="C280" s="753">
        <v>19202000530</v>
      </c>
      <c r="D280" s="783">
        <v>59.67</v>
      </c>
      <c r="E280" s="683" t="s">
        <v>420</v>
      </c>
    </row>
    <row r="281" spans="1:7" x14ac:dyDescent="0.25">
      <c r="A281" s="2" t="s">
        <v>1252</v>
      </c>
      <c r="B281" s="782" t="s">
        <v>509</v>
      </c>
      <c r="C281" s="753">
        <v>19202000538</v>
      </c>
      <c r="D281" s="783">
        <v>59.03</v>
      </c>
      <c r="E281" s="683" t="s">
        <v>420</v>
      </c>
    </row>
    <row r="282" spans="1:7" x14ac:dyDescent="0.25">
      <c r="A282" s="2" t="s">
        <v>1252</v>
      </c>
      <c r="B282" s="782" t="s">
        <v>509</v>
      </c>
      <c r="C282" s="753">
        <v>19202000531</v>
      </c>
      <c r="D282" s="783">
        <v>57.44</v>
      </c>
      <c r="E282" s="683" t="s">
        <v>420</v>
      </c>
    </row>
    <row r="283" spans="1:7" x14ac:dyDescent="0.25">
      <c r="A283" s="2" t="s">
        <v>1252</v>
      </c>
      <c r="B283" s="782" t="s">
        <v>509</v>
      </c>
      <c r="C283" s="753">
        <v>19202000544</v>
      </c>
      <c r="D283" s="783">
        <v>53.42</v>
      </c>
      <c r="E283" s="683" t="s">
        <v>420</v>
      </c>
    </row>
    <row r="284" spans="1:7" x14ac:dyDescent="0.25">
      <c r="A284" s="179" t="s">
        <v>1252</v>
      </c>
      <c r="B284" s="813" t="s">
        <v>509</v>
      </c>
      <c r="C284" s="814">
        <v>19202000545</v>
      </c>
      <c r="D284" s="559"/>
      <c r="E284" s="736" t="s">
        <v>420</v>
      </c>
    </row>
    <row r="285" spans="1:7" x14ac:dyDescent="0.25">
      <c r="A285" s="181" t="s">
        <v>1275</v>
      </c>
      <c r="B285" s="782" t="s">
        <v>509</v>
      </c>
      <c r="C285" s="2">
        <v>19202100016</v>
      </c>
      <c r="D285" s="2">
        <v>84.16</v>
      </c>
      <c r="E285" s="379" t="s">
        <v>419</v>
      </c>
      <c r="F285" s="647"/>
      <c r="G285" s="647"/>
    </row>
    <row r="286" spans="1:7" x14ac:dyDescent="0.25">
      <c r="A286" s="181" t="s">
        <v>1275</v>
      </c>
      <c r="B286" s="782" t="s">
        <v>509</v>
      </c>
      <c r="C286" s="2">
        <v>19202100007</v>
      </c>
      <c r="D286" s="2">
        <v>82.44</v>
      </c>
      <c r="E286" s="379" t="s">
        <v>419</v>
      </c>
      <c r="F286" s="647"/>
      <c r="G286" s="647"/>
    </row>
    <row r="287" spans="1:7" x14ac:dyDescent="0.25">
      <c r="A287" s="181" t="s">
        <v>1275</v>
      </c>
      <c r="B287" s="782" t="s">
        <v>509</v>
      </c>
      <c r="C287" s="2">
        <v>19202100015</v>
      </c>
      <c r="D287" s="2">
        <v>82.18</v>
      </c>
      <c r="E287" s="379" t="s">
        <v>419</v>
      </c>
      <c r="F287" s="647"/>
      <c r="G287" s="647"/>
    </row>
    <row r="288" spans="1:7" x14ac:dyDescent="0.25">
      <c r="A288" s="181" t="s">
        <v>1275</v>
      </c>
      <c r="B288" s="782" t="s">
        <v>509</v>
      </c>
      <c r="C288" s="2">
        <v>19202100010</v>
      </c>
      <c r="D288" s="2">
        <v>81.400000000000006</v>
      </c>
      <c r="E288" s="379" t="s">
        <v>419</v>
      </c>
      <c r="F288" s="647"/>
      <c r="G288" s="647"/>
    </row>
    <row r="289" spans="1:7" x14ac:dyDescent="0.25">
      <c r="A289" s="181" t="s">
        <v>1275</v>
      </c>
      <c r="B289" s="782" t="s">
        <v>509</v>
      </c>
      <c r="C289" s="2">
        <v>19202100003</v>
      </c>
      <c r="D289" s="2">
        <v>79.430000000000007</v>
      </c>
      <c r="E289" s="379" t="s">
        <v>419</v>
      </c>
      <c r="F289" s="647"/>
      <c r="G289" s="647"/>
    </row>
    <row r="290" spans="1:7" x14ac:dyDescent="0.25">
      <c r="A290" s="181" t="s">
        <v>1275</v>
      </c>
      <c r="B290" s="782" t="s">
        <v>509</v>
      </c>
      <c r="C290" s="2">
        <v>19202100012</v>
      </c>
      <c r="D290" s="2">
        <v>78.42</v>
      </c>
      <c r="E290" s="379" t="s">
        <v>419</v>
      </c>
      <c r="F290" s="647"/>
      <c r="G290" s="647"/>
    </row>
    <row r="291" spans="1:7" x14ac:dyDescent="0.25">
      <c r="A291" s="181" t="s">
        <v>1275</v>
      </c>
      <c r="B291" s="782" t="s">
        <v>509</v>
      </c>
      <c r="C291" s="2">
        <v>19202100006</v>
      </c>
      <c r="D291" s="2">
        <v>77.05</v>
      </c>
      <c r="E291" s="379" t="s">
        <v>419</v>
      </c>
      <c r="F291" s="647"/>
      <c r="G291" s="647"/>
    </row>
    <row r="292" spans="1:7" x14ac:dyDescent="0.25">
      <c r="A292" s="181" t="s">
        <v>1275</v>
      </c>
      <c r="B292" s="782" t="s">
        <v>509</v>
      </c>
      <c r="C292" s="2">
        <v>19202100011</v>
      </c>
      <c r="D292" s="2">
        <v>76.92</v>
      </c>
      <c r="E292" s="379" t="s">
        <v>419</v>
      </c>
      <c r="F292" s="647"/>
      <c r="G292" s="647"/>
    </row>
    <row r="293" spans="1:7" x14ac:dyDescent="0.25">
      <c r="A293" s="181" t="s">
        <v>1275</v>
      </c>
      <c r="B293" s="782" t="s">
        <v>509</v>
      </c>
      <c r="C293" s="2">
        <v>19202100008</v>
      </c>
      <c r="D293" s="2">
        <v>75.930000000000007</v>
      </c>
      <c r="E293" s="379" t="s">
        <v>419</v>
      </c>
      <c r="F293" s="647"/>
      <c r="G293" s="647"/>
    </row>
    <row r="294" spans="1:7" x14ac:dyDescent="0.25">
      <c r="A294" s="181" t="s">
        <v>1275</v>
      </c>
      <c r="B294" s="782" t="s">
        <v>509</v>
      </c>
      <c r="C294" s="2">
        <v>19202100004</v>
      </c>
      <c r="D294" s="2">
        <v>75.8</v>
      </c>
      <c r="E294" s="379" t="s">
        <v>419</v>
      </c>
      <c r="F294" s="647"/>
      <c r="G294" s="647"/>
    </row>
    <row r="295" spans="1:7" x14ac:dyDescent="0.25">
      <c r="A295" s="181" t="s">
        <v>1275</v>
      </c>
      <c r="B295" s="782" t="s">
        <v>509</v>
      </c>
      <c r="C295" s="2">
        <v>19202100009</v>
      </c>
      <c r="D295" s="2">
        <v>72.290000000000006</v>
      </c>
      <c r="E295" s="379" t="s">
        <v>419</v>
      </c>
      <c r="F295" s="647"/>
      <c r="G295" s="647"/>
    </row>
    <row r="296" spans="1:7" x14ac:dyDescent="0.25">
      <c r="A296" s="181" t="s">
        <v>1275</v>
      </c>
      <c r="B296" s="782" t="s">
        <v>509</v>
      </c>
      <c r="C296" s="2">
        <v>19202100014</v>
      </c>
      <c r="D296" s="2">
        <v>72.069999999999993</v>
      </c>
      <c r="E296" s="683" t="s">
        <v>420</v>
      </c>
      <c r="F296" s="647"/>
      <c r="G296" s="647"/>
    </row>
    <row r="297" spans="1:7" x14ac:dyDescent="0.25">
      <c r="A297" s="181" t="s">
        <v>1275</v>
      </c>
      <c r="B297" s="782" t="s">
        <v>509</v>
      </c>
      <c r="C297" s="2">
        <v>19202100013</v>
      </c>
      <c r="D297" s="2">
        <v>71.03</v>
      </c>
      <c r="E297" s="683" t="s">
        <v>420</v>
      </c>
      <c r="F297" s="647"/>
      <c r="G297" s="647"/>
    </row>
    <row r="298" spans="1:7" x14ac:dyDescent="0.25">
      <c r="A298" s="181" t="s">
        <v>1275</v>
      </c>
      <c r="B298" s="782" t="s">
        <v>509</v>
      </c>
      <c r="C298" s="2">
        <v>19202100005</v>
      </c>
      <c r="D298" s="2">
        <v>70.3</v>
      </c>
      <c r="E298" s="683" t="s">
        <v>420</v>
      </c>
      <c r="F298" s="647"/>
      <c r="G298" s="647"/>
    </row>
    <row r="299" spans="1:7" x14ac:dyDescent="0.25">
      <c r="A299" s="2" t="s">
        <v>1358</v>
      </c>
      <c r="B299" s="629" t="s">
        <v>1359</v>
      </c>
      <c r="C299" s="2">
        <v>19202100651</v>
      </c>
      <c r="D299" s="2">
        <v>71.05</v>
      </c>
      <c r="E299" s="379" t="s">
        <v>419</v>
      </c>
      <c r="F299" s="647"/>
      <c r="G299" s="647"/>
    </row>
    <row r="300" spans="1:7" x14ac:dyDescent="0.25">
      <c r="A300" s="2" t="s">
        <v>1358</v>
      </c>
      <c r="B300" s="629" t="s">
        <v>1359</v>
      </c>
      <c r="C300" s="2">
        <v>19202100653</v>
      </c>
      <c r="D300" s="2">
        <v>70.92</v>
      </c>
      <c r="E300" s="379" t="s">
        <v>419</v>
      </c>
      <c r="F300" s="647"/>
      <c r="G300" s="647"/>
    </row>
    <row r="301" spans="1:7" x14ac:dyDescent="0.25">
      <c r="A301" s="2" t="s">
        <v>1358</v>
      </c>
      <c r="B301" s="629" t="s">
        <v>1359</v>
      </c>
      <c r="C301" s="2">
        <v>19202100658</v>
      </c>
      <c r="D301" s="2">
        <v>70.040000000000006</v>
      </c>
      <c r="E301" s="379" t="s">
        <v>419</v>
      </c>
      <c r="F301" s="647"/>
      <c r="G301" s="647"/>
    </row>
    <row r="302" spans="1:7" x14ac:dyDescent="0.25">
      <c r="A302" s="2" t="s">
        <v>1358</v>
      </c>
      <c r="B302" s="629" t="s">
        <v>1359</v>
      </c>
      <c r="C302" s="2">
        <v>19202100662</v>
      </c>
      <c r="D302" s="2">
        <v>68.66</v>
      </c>
      <c r="E302" s="379" t="s">
        <v>419</v>
      </c>
      <c r="F302" s="647"/>
      <c r="G302" s="647"/>
    </row>
    <row r="303" spans="1:7" x14ac:dyDescent="0.25">
      <c r="A303" s="2" t="s">
        <v>1358</v>
      </c>
      <c r="B303" s="629" t="s">
        <v>1359</v>
      </c>
      <c r="C303" s="2">
        <v>19202100652</v>
      </c>
      <c r="D303" s="2">
        <v>67.53</v>
      </c>
      <c r="E303" s="379" t="s">
        <v>419</v>
      </c>
      <c r="F303" s="647"/>
      <c r="G303" s="647"/>
    </row>
    <row r="304" spans="1:7" x14ac:dyDescent="0.25">
      <c r="A304" s="2" t="s">
        <v>1358</v>
      </c>
      <c r="B304" s="629" t="s">
        <v>1359</v>
      </c>
      <c r="C304" s="2">
        <v>19202100654</v>
      </c>
      <c r="D304" s="2">
        <v>62.82</v>
      </c>
      <c r="E304" s="379" t="s">
        <v>419</v>
      </c>
      <c r="F304" s="647"/>
      <c r="G304" s="647"/>
    </row>
    <row r="305" spans="1:7" x14ac:dyDescent="0.25">
      <c r="A305" s="2" t="s">
        <v>1358</v>
      </c>
      <c r="B305" s="629" t="s">
        <v>1359</v>
      </c>
      <c r="C305" s="2">
        <v>19202100655</v>
      </c>
      <c r="D305" s="2">
        <v>60.92</v>
      </c>
      <c r="E305" s="379" t="s">
        <v>419</v>
      </c>
      <c r="F305" s="647"/>
      <c r="G305" s="647"/>
    </row>
    <row r="306" spans="1:7" x14ac:dyDescent="0.25">
      <c r="A306" s="2" t="s">
        <v>1358</v>
      </c>
      <c r="B306" s="629" t="s">
        <v>1359</v>
      </c>
      <c r="C306" s="2">
        <v>19202100659</v>
      </c>
      <c r="D306" s="2">
        <v>60.8</v>
      </c>
      <c r="E306" s="379" t="s">
        <v>419</v>
      </c>
      <c r="F306" s="647"/>
      <c r="G306" s="647"/>
    </row>
    <row r="307" spans="1:7" x14ac:dyDescent="0.25">
      <c r="A307" s="2" t="s">
        <v>1358</v>
      </c>
      <c r="B307" s="629" t="s">
        <v>1359</v>
      </c>
      <c r="C307" s="2">
        <v>19202100661</v>
      </c>
      <c r="D307" s="2">
        <v>60.52</v>
      </c>
      <c r="E307" s="379" t="s">
        <v>419</v>
      </c>
      <c r="F307" s="647"/>
      <c r="G307" s="647"/>
    </row>
    <row r="308" spans="1:7" x14ac:dyDescent="0.25">
      <c r="A308" s="2" t="s">
        <v>1358</v>
      </c>
      <c r="B308" s="629" t="s">
        <v>1359</v>
      </c>
      <c r="C308" s="2">
        <v>19202100657</v>
      </c>
      <c r="D308" s="2">
        <v>54.18</v>
      </c>
      <c r="E308" s="683" t="s">
        <v>420</v>
      </c>
      <c r="F308" s="647"/>
      <c r="G308" s="647"/>
    </row>
    <row r="309" spans="1:7" x14ac:dyDescent="0.25">
      <c r="A309" s="2" t="s">
        <v>1358</v>
      </c>
      <c r="B309" s="629" t="s">
        <v>1359</v>
      </c>
      <c r="C309" s="2">
        <v>19202100660</v>
      </c>
      <c r="D309" s="2">
        <v>45.42</v>
      </c>
      <c r="E309" s="683" t="s">
        <v>420</v>
      </c>
      <c r="F309" s="647"/>
      <c r="G309" s="647"/>
    </row>
    <row r="310" spans="1:7" x14ac:dyDescent="0.25">
      <c r="A310" s="2" t="s">
        <v>1358</v>
      </c>
      <c r="B310" s="629" t="s">
        <v>1359</v>
      </c>
      <c r="C310" s="2">
        <v>19202100656</v>
      </c>
      <c r="D310" s="2">
        <v>38.03</v>
      </c>
      <c r="E310" s="683" t="s">
        <v>420</v>
      </c>
      <c r="F310" s="647"/>
      <c r="G310" s="647"/>
    </row>
    <row r="311" spans="1:7" x14ac:dyDescent="0.25">
      <c r="A311" s="2" t="s">
        <v>1388</v>
      </c>
      <c r="B311" s="2" t="s">
        <v>1389</v>
      </c>
      <c r="C311" s="2">
        <v>19202100821</v>
      </c>
      <c r="D311" s="2">
        <v>80.430000000000007</v>
      </c>
      <c r="E311" s="379" t="s">
        <v>419</v>
      </c>
    </row>
    <row r="312" spans="1:7" x14ac:dyDescent="0.25">
      <c r="A312" s="2" t="s">
        <v>1388</v>
      </c>
      <c r="B312" s="2" t="s">
        <v>1389</v>
      </c>
      <c r="C312" s="2">
        <v>19202100844</v>
      </c>
      <c r="D312" s="2">
        <v>79.91</v>
      </c>
      <c r="E312" s="379" t="s">
        <v>419</v>
      </c>
    </row>
    <row r="313" spans="1:7" x14ac:dyDescent="0.25">
      <c r="A313" s="2" t="s">
        <v>1388</v>
      </c>
      <c r="B313" s="2" t="s">
        <v>1389</v>
      </c>
      <c r="C313" s="2">
        <v>19202100851</v>
      </c>
      <c r="D313" s="2">
        <v>79.38</v>
      </c>
      <c r="E313" s="379" t="s">
        <v>419</v>
      </c>
    </row>
    <row r="314" spans="1:7" x14ac:dyDescent="0.25">
      <c r="A314" s="2" t="s">
        <v>1388</v>
      </c>
      <c r="B314" s="2" t="s">
        <v>1389</v>
      </c>
      <c r="C314" s="2">
        <v>19202100825</v>
      </c>
      <c r="D314" s="2">
        <v>79.239999999999995</v>
      </c>
      <c r="E314" s="379" t="s">
        <v>419</v>
      </c>
    </row>
    <row r="315" spans="1:7" x14ac:dyDescent="0.25">
      <c r="A315" s="2" t="s">
        <v>1388</v>
      </c>
      <c r="B315" s="2" t="s">
        <v>1389</v>
      </c>
      <c r="C315" s="2">
        <v>19202100887</v>
      </c>
      <c r="D315" s="2">
        <v>77.22</v>
      </c>
      <c r="E315" s="379" t="s">
        <v>419</v>
      </c>
    </row>
    <row r="316" spans="1:7" x14ac:dyDescent="0.25">
      <c r="A316" s="2" t="s">
        <v>1388</v>
      </c>
      <c r="B316" s="2" t="s">
        <v>1389</v>
      </c>
      <c r="C316" s="2">
        <v>19202100848</v>
      </c>
      <c r="D316" s="2">
        <v>76.930000000000007</v>
      </c>
      <c r="E316" s="379" t="s">
        <v>419</v>
      </c>
    </row>
    <row r="317" spans="1:7" x14ac:dyDescent="0.25">
      <c r="A317" s="2" t="s">
        <v>1388</v>
      </c>
      <c r="B317" s="2" t="s">
        <v>1389</v>
      </c>
      <c r="C317" s="2">
        <v>19202100879</v>
      </c>
      <c r="D317" s="2">
        <v>75.73</v>
      </c>
      <c r="E317" s="379" t="s">
        <v>419</v>
      </c>
    </row>
    <row r="318" spans="1:7" x14ac:dyDescent="0.25">
      <c r="A318" s="2" t="s">
        <v>1388</v>
      </c>
      <c r="B318" s="2" t="s">
        <v>1389</v>
      </c>
      <c r="C318" s="2">
        <v>19202100884</v>
      </c>
      <c r="D318" s="2">
        <v>74.22</v>
      </c>
      <c r="E318" s="379" t="s">
        <v>419</v>
      </c>
    </row>
    <row r="319" spans="1:7" x14ac:dyDescent="0.25">
      <c r="A319" s="2" t="s">
        <v>1388</v>
      </c>
      <c r="B319" s="2" t="s">
        <v>1389</v>
      </c>
      <c r="C319" s="2">
        <v>19202100889</v>
      </c>
      <c r="D319" s="2">
        <v>73.069999999999993</v>
      </c>
      <c r="E319" s="379" t="s">
        <v>419</v>
      </c>
    </row>
    <row r="320" spans="1:7" x14ac:dyDescent="0.25">
      <c r="A320" s="2" t="s">
        <v>1388</v>
      </c>
      <c r="B320" s="2" t="s">
        <v>1389</v>
      </c>
      <c r="C320" s="2">
        <v>19202100882</v>
      </c>
      <c r="D320" s="2">
        <v>72.569999999999993</v>
      </c>
      <c r="E320" s="379" t="s">
        <v>419</v>
      </c>
    </row>
    <row r="321" spans="1:5" x14ac:dyDescent="0.25">
      <c r="A321" s="2" t="s">
        <v>1388</v>
      </c>
      <c r="B321" s="2" t="s">
        <v>1389</v>
      </c>
      <c r="C321" s="2">
        <v>19202100896</v>
      </c>
      <c r="D321" s="2">
        <v>71.569999999999993</v>
      </c>
      <c r="E321" s="379" t="s">
        <v>419</v>
      </c>
    </row>
    <row r="322" spans="1:5" x14ac:dyDescent="0.25">
      <c r="A322" s="2" t="s">
        <v>1388</v>
      </c>
      <c r="B322" s="2" t="s">
        <v>1389</v>
      </c>
      <c r="C322" s="2">
        <v>19202100886</v>
      </c>
      <c r="D322" s="2">
        <v>71.209999999999994</v>
      </c>
      <c r="E322" s="379" t="s">
        <v>419</v>
      </c>
    </row>
    <row r="323" spans="1:5" x14ac:dyDescent="0.25">
      <c r="A323" s="2" t="s">
        <v>1388</v>
      </c>
      <c r="B323" s="2" t="s">
        <v>1389</v>
      </c>
      <c r="C323" s="2">
        <v>19202100876</v>
      </c>
      <c r="D323" s="2">
        <v>71.069999999999993</v>
      </c>
      <c r="E323" s="379" t="s">
        <v>419</v>
      </c>
    </row>
    <row r="324" spans="1:5" x14ac:dyDescent="0.25">
      <c r="A324" s="2" t="s">
        <v>1388</v>
      </c>
      <c r="B324" s="2" t="s">
        <v>1389</v>
      </c>
      <c r="C324" s="2">
        <v>19202100905</v>
      </c>
      <c r="D324" s="2">
        <v>69.239999999999995</v>
      </c>
      <c r="E324" s="379" t="s">
        <v>419</v>
      </c>
    </row>
    <row r="325" spans="1:5" x14ac:dyDescent="0.25">
      <c r="A325" s="2" t="s">
        <v>1388</v>
      </c>
      <c r="B325" s="2" t="s">
        <v>1389</v>
      </c>
      <c r="C325" s="2">
        <v>19202100858</v>
      </c>
      <c r="D325" s="2">
        <v>69.040000000000006</v>
      </c>
      <c r="E325" s="379" t="s">
        <v>419</v>
      </c>
    </row>
    <row r="326" spans="1:5" x14ac:dyDescent="0.25">
      <c r="A326" s="2" t="s">
        <v>1388</v>
      </c>
      <c r="B326" s="2" t="s">
        <v>1389</v>
      </c>
      <c r="C326" s="2">
        <v>19202100888</v>
      </c>
      <c r="D326" s="2">
        <v>68.239999999999995</v>
      </c>
      <c r="E326" s="379" t="s">
        <v>419</v>
      </c>
    </row>
    <row r="327" spans="1:5" x14ac:dyDescent="0.25">
      <c r="A327" s="2" t="s">
        <v>1388</v>
      </c>
      <c r="B327" s="2" t="s">
        <v>1389</v>
      </c>
      <c r="C327" s="2">
        <v>19202100890</v>
      </c>
      <c r="D327" s="2">
        <v>68.2</v>
      </c>
      <c r="E327" s="683" t="s">
        <v>420</v>
      </c>
    </row>
    <row r="328" spans="1:5" x14ac:dyDescent="0.25">
      <c r="A328" s="2" t="s">
        <v>1388</v>
      </c>
      <c r="B328" s="2" t="s">
        <v>1389</v>
      </c>
      <c r="C328" s="2">
        <v>19202100892</v>
      </c>
      <c r="D328" s="2">
        <v>67.42</v>
      </c>
      <c r="E328" s="683" t="s">
        <v>420</v>
      </c>
    </row>
    <row r="329" spans="1:5" x14ac:dyDescent="0.25">
      <c r="A329" s="2" t="s">
        <v>1388</v>
      </c>
      <c r="B329" s="2" t="s">
        <v>1389</v>
      </c>
      <c r="C329" s="2">
        <v>19202100854</v>
      </c>
      <c r="D329" s="2">
        <v>67.400000000000006</v>
      </c>
      <c r="E329" s="683" t="s">
        <v>420</v>
      </c>
    </row>
    <row r="330" spans="1:5" x14ac:dyDescent="0.25">
      <c r="A330" s="2" t="s">
        <v>1388</v>
      </c>
      <c r="B330" s="2" t="s">
        <v>1389</v>
      </c>
      <c r="C330" s="2">
        <v>19202100880</v>
      </c>
      <c r="D330" s="2">
        <v>66.91</v>
      </c>
      <c r="E330" s="683" t="s">
        <v>420</v>
      </c>
    </row>
    <row r="331" spans="1:5" x14ac:dyDescent="0.25">
      <c r="A331" s="2" t="s">
        <v>1388</v>
      </c>
      <c r="B331" s="2" t="s">
        <v>1389</v>
      </c>
      <c r="C331" s="2">
        <v>19202100842</v>
      </c>
      <c r="D331" s="2">
        <v>66.23</v>
      </c>
      <c r="E331" s="683" t="s">
        <v>420</v>
      </c>
    </row>
    <row r="332" spans="1:5" x14ac:dyDescent="0.25">
      <c r="A332" s="2" t="s">
        <v>1388</v>
      </c>
      <c r="B332" s="2" t="s">
        <v>1389</v>
      </c>
      <c r="C332" s="2">
        <v>19202100883</v>
      </c>
      <c r="D332" s="2">
        <v>66.069999999999993</v>
      </c>
      <c r="E332" s="683" t="s">
        <v>420</v>
      </c>
    </row>
    <row r="333" spans="1:5" x14ac:dyDescent="0.25">
      <c r="A333" s="2" t="s">
        <v>1388</v>
      </c>
      <c r="B333" s="2" t="s">
        <v>1389</v>
      </c>
      <c r="C333" s="2">
        <v>19202100895</v>
      </c>
      <c r="D333" s="2">
        <v>65.540000000000006</v>
      </c>
      <c r="E333" s="683" t="s">
        <v>420</v>
      </c>
    </row>
    <row r="334" spans="1:5" x14ac:dyDescent="0.25">
      <c r="A334" s="2" t="s">
        <v>1388</v>
      </c>
      <c r="B334" s="2" t="s">
        <v>1389</v>
      </c>
      <c r="C334" s="2">
        <v>19202100873</v>
      </c>
      <c r="D334" s="2">
        <v>64.709999999999994</v>
      </c>
      <c r="E334" s="683" t="s">
        <v>420</v>
      </c>
    </row>
    <row r="335" spans="1:5" x14ac:dyDescent="0.25">
      <c r="A335" s="2" t="s">
        <v>1388</v>
      </c>
      <c r="B335" s="2" t="s">
        <v>1389</v>
      </c>
      <c r="C335" s="2">
        <v>19202100881</v>
      </c>
      <c r="D335" s="2">
        <v>64.400000000000006</v>
      </c>
      <c r="E335" s="683" t="s">
        <v>420</v>
      </c>
    </row>
    <row r="336" spans="1:5" x14ac:dyDescent="0.25">
      <c r="A336" s="2" t="s">
        <v>1388</v>
      </c>
      <c r="B336" s="2" t="s">
        <v>1389</v>
      </c>
      <c r="C336" s="2">
        <v>19202100897</v>
      </c>
      <c r="D336" s="2">
        <v>64.069999999999993</v>
      </c>
      <c r="E336" s="683" t="s">
        <v>420</v>
      </c>
    </row>
    <row r="337" spans="1:5" x14ac:dyDescent="0.25">
      <c r="A337" s="2" t="s">
        <v>1388</v>
      </c>
      <c r="B337" s="2" t="s">
        <v>1389</v>
      </c>
      <c r="C337" s="2">
        <v>19202100852</v>
      </c>
      <c r="D337" s="2">
        <v>62.22</v>
      </c>
      <c r="E337" s="683" t="s">
        <v>420</v>
      </c>
    </row>
    <row r="338" spans="1:5" x14ac:dyDescent="0.25">
      <c r="A338" s="2" t="s">
        <v>1388</v>
      </c>
      <c r="B338" s="2" t="s">
        <v>1389</v>
      </c>
      <c r="C338" s="2">
        <v>19202100868</v>
      </c>
      <c r="D338" s="2">
        <v>61.41</v>
      </c>
      <c r="E338" s="683" t="s">
        <v>420</v>
      </c>
    </row>
    <row r="339" spans="1:5" x14ac:dyDescent="0.25">
      <c r="A339" s="2" t="s">
        <v>1388</v>
      </c>
      <c r="B339" s="2" t="s">
        <v>1390</v>
      </c>
      <c r="C339" s="2">
        <v>19202100901</v>
      </c>
      <c r="D339" s="2">
        <v>76.239999999999995</v>
      </c>
      <c r="E339" s="379" t="s">
        <v>419</v>
      </c>
    </row>
    <row r="340" spans="1:5" x14ac:dyDescent="0.25">
      <c r="A340" s="2" t="s">
        <v>1388</v>
      </c>
      <c r="B340" s="2" t="s">
        <v>1390</v>
      </c>
      <c r="C340" s="2">
        <v>19202100843</v>
      </c>
      <c r="D340" s="2">
        <v>74.099999999999994</v>
      </c>
      <c r="E340" s="379" t="s">
        <v>419</v>
      </c>
    </row>
    <row r="341" spans="1:5" x14ac:dyDescent="0.25">
      <c r="A341" s="2" t="s">
        <v>1388</v>
      </c>
      <c r="B341" s="2" t="s">
        <v>1390</v>
      </c>
      <c r="C341" s="2">
        <v>19202100875</v>
      </c>
      <c r="D341" s="2">
        <v>73.510000000000005</v>
      </c>
      <c r="E341" s="379" t="s">
        <v>419</v>
      </c>
    </row>
    <row r="342" spans="1:5" x14ac:dyDescent="0.25">
      <c r="A342" s="2" t="s">
        <v>1388</v>
      </c>
      <c r="B342" s="2" t="s">
        <v>1390</v>
      </c>
      <c r="C342" s="2">
        <v>19202100823</v>
      </c>
      <c r="D342" s="2">
        <v>73.239999999999995</v>
      </c>
      <c r="E342" s="379" t="s">
        <v>419</v>
      </c>
    </row>
    <row r="343" spans="1:5" x14ac:dyDescent="0.25">
      <c r="A343" s="2" t="s">
        <v>1388</v>
      </c>
      <c r="B343" s="2" t="s">
        <v>1390</v>
      </c>
      <c r="C343" s="2">
        <v>19202100840</v>
      </c>
      <c r="D343" s="2">
        <v>67.94</v>
      </c>
      <c r="E343" s="379" t="s">
        <v>419</v>
      </c>
    </row>
    <row r="344" spans="1:5" x14ac:dyDescent="0.25">
      <c r="A344" s="2" t="s">
        <v>1388</v>
      </c>
      <c r="B344" s="2" t="s">
        <v>1390</v>
      </c>
      <c r="C344" s="2">
        <v>19202100902</v>
      </c>
      <c r="D344" s="2">
        <v>67.52</v>
      </c>
      <c r="E344" s="379" t="s">
        <v>419</v>
      </c>
    </row>
    <row r="345" spans="1:5" x14ac:dyDescent="0.25">
      <c r="A345" s="2" t="s">
        <v>1388</v>
      </c>
      <c r="B345" s="2" t="s">
        <v>1390</v>
      </c>
      <c r="C345" s="2">
        <v>19202100822</v>
      </c>
      <c r="D345" s="2">
        <v>63.38</v>
      </c>
      <c r="E345" s="379" t="s">
        <v>419</v>
      </c>
    </row>
    <row r="346" spans="1:5" x14ac:dyDescent="0.25">
      <c r="A346" s="2" t="s">
        <v>1388</v>
      </c>
      <c r="B346" s="2" t="s">
        <v>1390</v>
      </c>
      <c r="C346" s="2">
        <v>19202100899</v>
      </c>
      <c r="D346" s="2">
        <v>61.22</v>
      </c>
      <c r="E346" s="379" t="s">
        <v>419</v>
      </c>
    </row>
    <row r="347" spans="1:5" x14ac:dyDescent="0.25">
      <c r="A347" s="2" t="s">
        <v>1388</v>
      </c>
      <c r="B347" s="2" t="s">
        <v>1390</v>
      </c>
      <c r="C347" s="2">
        <v>19202100849</v>
      </c>
      <c r="D347" s="2">
        <v>57.23</v>
      </c>
      <c r="E347" s="683" t="s">
        <v>420</v>
      </c>
    </row>
    <row r="348" spans="1:5" x14ac:dyDescent="0.25">
      <c r="A348" s="2" t="s">
        <v>1388</v>
      </c>
      <c r="B348" s="2" t="s">
        <v>1390</v>
      </c>
      <c r="C348" s="2">
        <v>19202100838</v>
      </c>
      <c r="D348" s="2">
        <v>55.5</v>
      </c>
      <c r="E348" s="683" t="s">
        <v>420</v>
      </c>
    </row>
    <row r="349" spans="1:5" x14ac:dyDescent="0.25">
      <c r="A349" s="843" t="s">
        <v>1517</v>
      </c>
      <c r="B349" s="843" t="s">
        <v>1518</v>
      </c>
      <c r="C349" s="843">
        <v>19202200045</v>
      </c>
      <c r="D349" s="843">
        <v>53.92</v>
      </c>
      <c r="E349" s="683" t="s">
        <v>420</v>
      </c>
    </row>
    <row r="350" spans="1:5" x14ac:dyDescent="0.25">
      <c r="A350" s="843" t="s">
        <v>1517</v>
      </c>
      <c r="B350" s="843" t="s">
        <v>1519</v>
      </c>
      <c r="C350" s="843">
        <v>19202200034</v>
      </c>
      <c r="D350" s="843">
        <v>86.51</v>
      </c>
      <c r="E350" s="379" t="s">
        <v>419</v>
      </c>
    </row>
    <row r="351" spans="1:5" x14ac:dyDescent="0.25">
      <c r="A351" s="843" t="s">
        <v>1517</v>
      </c>
      <c r="B351" s="843" t="s">
        <v>1519</v>
      </c>
      <c r="C351" s="843">
        <v>19202200014</v>
      </c>
      <c r="D351" s="843">
        <v>83.95</v>
      </c>
      <c r="E351" s="379" t="s">
        <v>419</v>
      </c>
    </row>
    <row r="352" spans="1:5" x14ac:dyDescent="0.25">
      <c r="A352" s="843" t="s">
        <v>1517</v>
      </c>
      <c r="B352" s="843" t="s">
        <v>1519</v>
      </c>
      <c r="C352" s="843">
        <v>19202200030</v>
      </c>
      <c r="D352" s="843">
        <v>80.239999999999995</v>
      </c>
      <c r="E352" s="379" t="s">
        <v>419</v>
      </c>
    </row>
    <row r="353" spans="1:5" x14ac:dyDescent="0.25">
      <c r="A353" s="843" t="s">
        <v>1517</v>
      </c>
      <c r="B353" s="843" t="s">
        <v>1519</v>
      </c>
      <c r="C353" s="843">
        <v>19202200028</v>
      </c>
      <c r="D353" s="843">
        <v>79.959999999999994</v>
      </c>
      <c r="E353" s="379" t="s">
        <v>419</v>
      </c>
    </row>
    <row r="354" spans="1:5" x14ac:dyDescent="0.25">
      <c r="A354" s="843" t="s">
        <v>1517</v>
      </c>
      <c r="B354" s="843" t="s">
        <v>1519</v>
      </c>
      <c r="C354" s="843">
        <v>19202200042</v>
      </c>
      <c r="D354" s="843">
        <v>79.81</v>
      </c>
      <c r="E354" s="379" t="s">
        <v>419</v>
      </c>
    </row>
    <row r="355" spans="1:5" x14ac:dyDescent="0.25">
      <c r="A355" s="843" t="s">
        <v>1517</v>
      </c>
      <c r="B355" s="843" t="s">
        <v>1519</v>
      </c>
      <c r="C355" s="843">
        <v>19202200031</v>
      </c>
      <c r="D355" s="843">
        <v>79.209999999999994</v>
      </c>
      <c r="E355" s="379" t="s">
        <v>419</v>
      </c>
    </row>
    <row r="356" spans="1:5" x14ac:dyDescent="0.25">
      <c r="A356" s="843" t="s">
        <v>1517</v>
      </c>
      <c r="B356" s="843" t="s">
        <v>1519</v>
      </c>
      <c r="C356" s="843">
        <v>19202200032</v>
      </c>
      <c r="D356" s="843">
        <v>78.209999999999994</v>
      </c>
      <c r="E356" s="379" t="s">
        <v>419</v>
      </c>
    </row>
    <row r="357" spans="1:5" x14ac:dyDescent="0.25">
      <c r="A357" s="843" t="s">
        <v>1517</v>
      </c>
      <c r="B357" s="843" t="s">
        <v>1519</v>
      </c>
      <c r="C357" s="843">
        <v>19202200040</v>
      </c>
      <c r="D357" s="843">
        <v>78.08</v>
      </c>
      <c r="E357" s="379" t="s">
        <v>419</v>
      </c>
    </row>
    <row r="358" spans="1:5" x14ac:dyDescent="0.25">
      <c r="A358" s="843" t="s">
        <v>1517</v>
      </c>
      <c r="B358" s="843" t="s">
        <v>1519</v>
      </c>
      <c r="C358" s="843">
        <v>19202200029</v>
      </c>
      <c r="D358" s="843">
        <v>77.25</v>
      </c>
      <c r="E358" s="379" t="s">
        <v>419</v>
      </c>
    </row>
    <row r="359" spans="1:5" x14ac:dyDescent="0.25">
      <c r="A359" s="843" t="s">
        <v>1517</v>
      </c>
      <c r="B359" s="843" t="s">
        <v>1519</v>
      </c>
      <c r="C359" s="843">
        <v>19202200037</v>
      </c>
      <c r="D359" s="843">
        <v>75.95</v>
      </c>
      <c r="E359" s="379" t="s">
        <v>419</v>
      </c>
    </row>
    <row r="360" spans="1:5" x14ac:dyDescent="0.25">
      <c r="A360" s="843" t="s">
        <v>1517</v>
      </c>
      <c r="B360" s="843" t="s">
        <v>1519</v>
      </c>
      <c r="C360" s="843">
        <v>19202200036</v>
      </c>
      <c r="D360" s="843">
        <v>73.09</v>
      </c>
      <c r="E360" s="379" t="s">
        <v>419</v>
      </c>
    </row>
    <row r="361" spans="1:5" x14ac:dyDescent="0.25">
      <c r="A361" s="843" t="s">
        <v>1517</v>
      </c>
      <c r="B361" s="843" t="s">
        <v>1519</v>
      </c>
      <c r="C361" s="843">
        <v>19202200044</v>
      </c>
      <c r="D361" s="843">
        <v>72.489999999999995</v>
      </c>
      <c r="E361" s="379" t="s">
        <v>419</v>
      </c>
    </row>
    <row r="362" spans="1:5" x14ac:dyDescent="0.25">
      <c r="A362" s="843" t="s">
        <v>1517</v>
      </c>
      <c r="B362" s="843" t="s">
        <v>1519</v>
      </c>
      <c r="C362" s="843">
        <v>19202200039</v>
      </c>
      <c r="D362" s="843">
        <v>72.08</v>
      </c>
      <c r="E362" s="379" t="s">
        <v>419</v>
      </c>
    </row>
    <row r="363" spans="1:5" x14ac:dyDescent="0.25">
      <c r="A363" s="843" t="s">
        <v>1517</v>
      </c>
      <c r="B363" s="843" t="s">
        <v>1519</v>
      </c>
      <c r="C363" s="843">
        <v>19202200033</v>
      </c>
      <c r="D363" s="843">
        <v>71.77</v>
      </c>
      <c r="E363" s="379" t="s">
        <v>419</v>
      </c>
    </row>
    <row r="364" spans="1:5" x14ac:dyDescent="0.25">
      <c r="A364" s="843" t="s">
        <v>1517</v>
      </c>
      <c r="B364" s="843" t="s">
        <v>1519</v>
      </c>
      <c r="C364" s="843">
        <v>19202200043</v>
      </c>
      <c r="D364" s="843">
        <v>70.069999999999993</v>
      </c>
      <c r="E364" s="379" t="s">
        <v>419</v>
      </c>
    </row>
    <row r="365" spans="1:5" x14ac:dyDescent="0.25">
      <c r="A365" s="843" t="s">
        <v>1517</v>
      </c>
      <c r="B365" s="843" t="s">
        <v>1519</v>
      </c>
      <c r="C365" s="843">
        <v>19202200041</v>
      </c>
      <c r="D365" s="843">
        <v>52.78</v>
      </c>
      <c r="E365" s="683" t="s">
        <v>420</v>
      </c>
    </row>
  </sheetData>
  <sortState ref="A3:D18">
    <sortCondition descending="1" ref="D3:D18"/>
  </sortState>
  <mergeCells count="1">
    <mergeCell ref="A1:E1"/>
  </mergeCells>
  <hyperlinks>
    <hyperlink ref="C261" r:id="rId1" location="/router?komponent=taotlus&amp;id=1019642&amp;kuva=ava" display="https://pms.arib.pria.ee/pms-menetlus/ - /router?komponent=taotlus&amp;id=1019642&amp;kuva=ava"/>
    <hyperlink ref="C263" r:id="rId2" location="/router?komponent=taotlus&amp;id=1020152&amp;kuva=ava" display="https://pms.arib.pria.ee/pms-menetlus/ - /router?komponent=taotlus&amp;id=1020152&amp;kuva=ava"/>
    <hyperlink ref="C264" r:id="rId3" location="/router?komponent=taotlus&amp;id=1012223&amp;kuva=ava" display="https://pms.arib.pria.ee/pms-menetlus/ - /router?komponent=taotlus&amp;id=1012223&amp;kuva=ava"/>
    <hyperlink ref="C265" r:id="rId4" location="/router?komponent=taotlus&amp;id=1020664&amp;kuva=ava" display="https://pms.arib.pria.ee/pms-menetlus/ - /router?komponent=taotlus&amp;id=1020664&amp;kuva=ava"/>
    <hyperlink ref="C266" r:id="rId5" location="/router?komponent=taotlus&amp;id=1021423&amp;kuva=ava" display="https://pms.arib.pria.ee/pms-menetlus/ - /router?komponent=taotlus&amp;id=1021423&amp;kuva=ava"/>
    <hyperlink ref="C267" r:id="rId6" location="/router?komponent=taotlus&amp;id=1019559&amp;kuva=ava" display="https://pms.arib.pria.ee/pms-menetlus/ - /router?komponent=taotlus&amp;id=1019559&amp;kuva=ava"/>
    <hyperlink ref="C268" r:id="rId7" location="/router?komponent=taotlus&amp;id=1016231&amp;kuva=ava" display="https://pms.arib.pria.ee/pms-menetlus/ - /router?komponent=taotlus&amp;id=1016231&amp;kuva=ava"/>
    <hyperlink ref="C269" r:id="rId8" location="/router?komponent=taotlus&amp;id=1012225&amp;kuva=ava" display="https://pms.arib.pria.ee/pms-menetlus/ - /router?komponent=taotlus&amp;id=1012225&amp;kuva=ava"/>
    <hyperlink ref="C270" r:id="rId9" location="/router?komponent=taotlus&amp;id=1018923&amp;kuva=ava" display="https://pms.arib.pria.ee/pms-menetlus/ - /router?komponent=taotlus&amp;id=1018923&amp;kuva=ava"/>
    <hyperlink ref="C271" r:id="rId10" location="/router?komponent=taotlus&amp;id=1020155&amp;kuva=ava" display="https://pms.arib.pria.ee/pms-menetlus/ - /router?komponent=taotlus&amp;id=1020155&amp;kuva=ava"/>
    <hyperlink ref="C272" r:id="rId11" location="/router?komponent=taotlus&amp;id=1013521&amp;kuva=ava" display="https://pms.arib.pria.ee/pms-menetlus/ - /router?komponent=taotlus&amp;id=1013521&amp;kuva=ava"/>
    <hyperlink ref="C273" r:id="rId12" location="/router?komponent=taotlus&amp;id=1019891&amp;kuva=ava" display="https://pms.arib.pria.ee/pms-menetlus/ - /router?komponent=taotlus&amp;id=1019891&amp;kuva=ava"/>
    <hyperlink ref="C274" r:id="rId13" location="/router?komponent=taotlus&amp;id=1020483&amp;kuva=ava" display="https://pms.arib.pria.ee/pms-menetlus/ - /router?komponent=taotlus&amp;id=1020483&amp;kuva=ava"/>
    <hyperlink ref="C275" r:id="rId14" location="/router?komponent=taotlus&amp;id=1020021&amp;kuva=ava" display="https://pms.arib.pria.ee/pms-menetlus/ - /router?komponent=taotlus&amp;id=1020021&amp;kuva=ava"/>
    <hyperlink ref="C276" r:id="rId15" location="/router?komponent=taotlus&amp;id=1021379&amp;kuva=ava" display="https://pms.arib.pria.ee/pms-menetlus/ - /router?komponent=taotlus&amp;id=1021379&amp;kuva=ava"/>
    <hyperlink ref="C277" r:id="rId16" location="/router?komponent=taotlus&amp;id=1021375&amp;kuva=ava" display="https://pms.arib.pria.ee/pms-menetlus/ - /router?komponent=taotlus&amp;id=1021375&amp;kuva=ava"/>
    <hyperlink ref="C278" r:id="rId17" location="/router?komponent=taotlus&amp;id=1011595&amp;kuva=ava" display="https://pms.arib.pria.ee/pms-menetlus/ - /router?komponent=taotlus&amp;id=1011595&amp;kuva=ava"/>
    <hyperlink ref="C279" r:id="rId18" location="/router?komponent=taotlus&amp;id=1021140&amp;kuva=ava" display="https://pms.arib.pria.ee/pms-menetlus/ - /router?komponent=taotlus&amp;id=1021140&amp;kuva=ava"/>
    <hyperlink ref="C280" r:id="rId19" location="/router?komponent=taotlus&amp;id=1013221&amp;kuva=ava" display="https://pms.arib.pria.ee/pms-menetlus/ - /router?komponent=taotlus&amp;id=1013221&amp;kuva=ava"/>
    <hyperlink ref="C281" r:id="rId20" location="/router?komponent=taotlus&amp;id=1013641&amp;kuva=ava" display="https://pms.arib.pria.ee/pms-menetlus/ - /router?komponent=taotlus&amp;id=1013641&amp;kuva=ava"/>
    <hyperlink ref="C282" r:id="rId21" location="/router?komponent=taotlus&amp;id=1011458&amp;kuva=ava" display="https://pms.arib.pria.ee/pms-menetlus/ - /router?komponent=taotlus&amp;id=1011458&amp;kuva=ava"/>
    <hyperlink ref="C283" r:id="rId22" location="/router?komponent=taotlus&amp;id=1014669&amp;kuva=ava" display="https://pms.arib.pria.ee/pms-menetlus/ - /router?komponent=taotlus&amp;id=1014669&amp;kuva=ava"/>
    <hyperlink ref="C284" r:id="rId23" location="/router?komponent=taotlus&amp;id=1020610&amp;kuva=ava" display="https://pms.arib.pria.ee/pms-menetlus/ - /router?komponent=taotlus&amp;id=1020610&amp;kuva=ava"/>
    <hyperlink ref="C262" r:id="rId24" location="/router?komponent=taotlus&amp;id=1012222&amp;kuva=ava" display="https://pms.arib.pria.ee/pms-menetlus/ - /router?komponent=taotlus&amp;id=1012222&amp;kuva=ava"/>
  </hyperlinks>
  <pageMargins left="0.7" right="0.7" top="0.75" bottom="0.75" header="0.3" footer="0.3"/>
  <pageSetup paperSize="9" orientation="portrait" r:id="rId25"/>
  <ignoredErrors>
    <ignoredError sqref="D19:D25 D29:D49 D53:D57 C53:C57 C29:C49 C19:C25 C3:C18 C26:C28 C50:C52 C58:C8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workbookViewId="0">
      <pane ySplit="2" topLeftCell="A195" activePane="bottomLeft" state="frozen"/>
      <selection pane="bottomLeft" activeCell="H208" sqref="H208"/>
    </sheetView>
  </sheetViews>
  <sheetFormatPr defaultRowHeight="15" x14ac:dyDescent="0.25"/>
  <cols>
    <col min="1" max="1" width="23.85546875" customWidth="1"/>
    <col min="2" max="2" width="41" customWidth="1"/>
    <col min="3" max="3" width="18.140625" customWidth="1"/>
    <col min="4" max="4" width="21" customWidth="1"/>
    <col min="5" max="5" width="18.85546875" customWidth="1"/>
  </cols>
  <sheetData>
    <row r="1" spans="1:6" ht="16.5" thickBot="1" x14ac:dyDescent="0.3">
      <c r="A1" s="852" t="s">
        <v>19</v>
      </c>
      <c r="B1" s="853"/>
      <c r="C1" s="853"/>
      <c r="D1" s="853"/>
      <c r="E1" s="854"/>
      <c r="F1" s="52" t="s">
        <v>448</v>
      </c>
    </row>
    <row r="2" spans="1:6" ht="15.75" thickBot="1" x14ac:dyDescent="0.3">
      <c r="A2" s="71" t="s">
        <v>6</v>
      </c>
      <c r="B2" s="72" t="s">
        <v>2</v>
      </c>
      <c r="C2" s="73" t="s">
        <v>0</v>
      </c>
      <c r="D2" s="74" t="s">
        <v>1</v>
      </c>
      <c r="E2" s="57" t="s">
        <v>464</v>
      </c>
    </row>
    <row r="3" spans="1:6" x14ac:dyDescent="0.25">
      <c r="A3" s="58" t="s">
        <v>666</v>
      </c>
      <c r="B3" s="59" t="s">
        <v>445</v>
      </c>
      <c r="C3" s="48" t="str">
        <f>"619216440973"</f>
        <v>619216440973</v>
      </c>
      <c r="D3" s="67">
        <v>8.2899999999999991</v>
      </c>
      <c r="E3" s="39" t="s">
        <v>419</v>
      </c>
    </row>
    <row r="4" spans="1:6" x14ac:dyDescent="0.25">
      <c r="A4" s="60" t="s">
        <v>666</v>
      </c>
      <c r="B4" s="24" t="s">
        <v>445</v>
      </c>
      <c r="C4" s="5" t="str">
        <f>"619216440971"</f>
        <v>619216440971</v>
      </c>
      <c r="D4" s="68">
        <v>7.83</v>
      </c>
      <c r="E4" s="41" t="s">
        <v>419</v>
      </c>
    </row>
    <row r="5" spans="1:6" x14ac:dyDescent="0.25">
      <c r="A5" s="60" t="s">
        <v>666</v>
      </c>
      <c r="B5" s="24" t="s">
        <v>445</v>
      </c>
      <c r="C5" s="5" t="str">
        <f>"619216440967"</f>
        <v>619216440967</v>
      </c>
      <c r="D5" s="68">
        <v>7.46</v>
      </c>
      <c r="E5" s="41" t="s">
        <v>419</v>
      </c>
    </row>
    <row r="6" spans="1:6" x14ac:dyDescent="0.25">
      <c r="A6" s="60" t="s">
        <v>666</v>
      </c>
      <c r="B6" s="24" t="s">
        <v>445</v>
      </c>
      <c r="C6" s="5" t="str">
        <f>"619216440968"</f>
        <v>619216440968</v>
      </c>
      <c r="D6" s="68">
        <v>6.83</v>
      </c>
      <c r="E6" s="41" t="s">
        <v>419</v>
      </c>
    </row>
    <row r="7" spans="1:6" x14ac:dyDescent="0.25">
      <c r="A7" s="60" t="s">
        <v>666</v>
      </c>
      <c r="B7" s="24" t="s">
        <v>445</v>
      </c>
      <c r="C7" s="5" t="str">
        <f>"619216440972"</f>
        <v>619216440972</v>
      </c>
      <c r="D7" s="68">
        <v>6.73</v>
      </c>
      <c r="E7" s="41" t="s">
        <v>419</v>
      </c>
    </row>
    <row r="8" spans="1:6" x14ac:dyDescent="0.25">
      <c r="A8" s="60" t="s">
        <v>666</v>
      </c>
      <c r="B8" s="24" t="s">
        <v>445</v>
      </c>
      <c r="C8" s="5" t="str">
        <f>"619216440974"</f>
        <v>619216440974</v>
      </c>
      <c r="D8" s="68">
        <v>6.63</v>
      </c>
      <c r="E8" s="41" t="s">
        <v>419</v>
      </c>
    </row>
    <row r="9" spans="1:6" x14ac:dyDescent="0.25">
      <c r="A9" s="60" t="s">
        <v>666</v>
      </c>
      <c r="B9" s="24" t="s">
        <v>445</v>
      </c>
      <c r="C9" s="5" t="str">
        <f>"619216440970"</f>
        <v>619216440970</v>
      </c>
      <c r="D9" s="68">
        <v>6.26</v>
      </c>
      <c r="E9" s="41" t="s">
        <v>419</v>
      </c>
    </row>
    <row r="10" spans="1:6" x14ac:dyDescent="0.25">
      <c r="A10" s="60" t="s">
        <v>666</v>
      </c>
      <c r="B10" s="24" t="s">
        <v>445</v>
      </c>
      <c r="C10" s="5" t="str">
        <f>"619216440969"</f>
        <v>619216440969</v>
      </c>
      <c r="D10" s="68">
        <v>6.07</v>
      </c>
      <c r="E10" s="41" t="s">
        <v>419</v>
      </c>
    </row>
    <row r="11" spans="1:6" x14ac:dyDescent="0.25">
      <c r="A11" s="60" t="s">
        <v>666</v>
      </c>
      <c r="B11" s="24" t="s">
        <v>445</v>
      </c>
      <c r="C11" s="5" t="str">
        <f>"619216441082"</f>
        <v>619216441082</v>
      </c>
      <c r="D11" s="68">
        <v>6.06</v>
      </c>
      <c r="E11" s="41" t="s">
        <v>419</v>
      </c>
    </row>
    <row r="12" spans="1:6" x14ac:dyDescent="0.25">
      <c r="A12" s="60" t="s">
        <v>666</v>
      </c>
      <c r="B12" s="1" t="s">
        <v>445</v>
      </c>
      <c r="C12" s="5" t="str">
        <f>"619216441086"</f>
        <v>619216441086</v>
      </c>
      <c r="D12" s="68">
        <v>6.03</v>
      </c>
      <c r="E12" s="66" t="s">
        <v>420</v>
      </c>
    </row>
    <row r="13" spans="1:6" x14ac:dyDescent="0.25">
      <c r="A13" s="60" t="s">
        <v>666</v>
      </c>
      <c r="B13" s="1" t="s">
        <v>445</v>
      </c>
      <c r="C13" s="5" t="str">
        <f>"619216441085"</f>
        <v>619216441085</v>
      </c>
      <c r="D13" s="68">
        <v>6</v>
      </c>
      <c r="E13" s="66" t="s">
        <v>420</v>
      </c>
    </row>
    <row r="14" spans="1:6" x14ac:dyDescent="0.25">
      <c r="A14" s="60" t="s">
        <v>666</v>
      </c>
      <c r="B14" s="1" t="s">
        <v>445</v>
      </c>
      <c r="C14" s="5" t="str">
        <f>"619216441078"</f>
        <v>619216441078</v>
      </c>
      <c r="D14" s="68">
        <v>5.54</v>
      </c>
      <c r="E14" s="66" t="s">
        <v>420</v>
      </c>
    </row>
    <row r="15" spans="1:6" x14ac:dyDescent="0.25">
      <c r="A15" s="60" t="s">
        <v>666</v>
      </c>
      <c r="B15" s="1" t="s">
        <v>445</v>
      </c>
      <c r="C15" s="5" t="str">
        <f>"619216441089"</f>
        <v>619216441089</v>
      </c>
      <c r="D15" s="68">
        <v>5.53</v>
      </c>
      <c r="E15" s="66" t="s">
        <v>420</v>
      </c>
    </row>
    <row r="16" spans="1:6" x14ac:dyDescent="0.25">
      <c r="A16" s="60" t="s">
        <v>666</v>
      </c>
      <c r="B16" s="1" t="s">
        <v>445</v>
      </c>
      <c r="C16" s="5" t="str">
        <f>"619216441080"</f>
        <v>619216441080</v>
      </c>
      <c r="D16" s="68" t="s">
        <v>449</v>
      </c>
      <c r="E16" s="66" t="s">
        <v>420</v>
      </c>
    </row>
    <row r="17" spans="1:5" x14ac:dyDescent="0.25">
      <c r="A17" s="60" t="s">
        <v>666</v>
      </c>
      <c r="B17" s="1" t="s">
        <v>445</v>
      </c>
      <c r="C17" s="5" t="str">
        <f>"619216441081"</f>
        <v>619216441081</v>
      </c>
      <c r="D17" s="68" t="s">
        <v>449</v>
      </c>
      <c r="E17" s="66" t="s">
        <v>420</v>
      </c>
    </row>
    <row r="18" spans="1:5" x14ac:dyDescent="0.25">
      <c r="A18" s="60" t="s">
        <v>666</v>
      </c>
      <c r="B18" s="1" t="s">
        <v>445</v>
      </c>
      <c r="C18" s="5" t="str">
        <f>"619216441087"</f>
        <v>619216441087</v>
      </c>
      <c r="D18" s="68" t="s">
        <v>449</v>
      </c>
      <c r="E18" s="66" t="s">
        <v>420</v>
      </c>
    </row>
    <row r="19" spans="1:5" x14ac:dyDescent="0.25">
      <c r="A19" s="60" t="s">
        <v>666</v>
      </c>
      <c r="B19" s="1" t="s">
        <v>445</v>
      </c>
      <c r="C19" s="5" t="str">
        <f>"619216441084"</f>
        <v>619216441084</v>
      </c>
      <c r="D19" s="68" t="s">
        <v>449</v>
      </c>
      <c r="E19" s="66" t="s">
        <v>420</v>
      </c>
    </row>
    <row r="20" spans="1:5" x14ac:dyDescent="0.25">
      <c r="A20" s="60" t="s">
        <v>666</v>
      </c>
      <c r="B20" s="1" t="s">
        <v>445</v>
      </c>
      <c r="C20" s="5" t="str">
        <f>"619216441088"</f>
        <v>619216441088</v>
      </c>
      <c r="D20" s="68" t="s">
        <v>449</v>
      </c>
      <c r="E20" s="66" t="s">
        <v>420</v>
      </c>
    </row>
    <row r="21" spans="1:5" ht="15.75" thickBot="1" x14ac:dyDescent="0.3">
      <c r="A21" s="61" t="s">
        <v>666</v>
      </c>
      <c r="B21" s="62" t="s">
        <v>445</v>
      </c>
      <c r="C21" s="44" t="str">
        <f>"619216441090"</f>
        <v>619216441090</v>
      </c>
      <c r="D21" s="69" t="s">
        <v>449</v>
      </c>
      <c r="E21" s="46" t="s">
        <v>420</v>
      </c>
    </row>
    <row r="22" spans="1:5" x14ac:dyDescent="0.25">
      <c r="A22" s="58" t="s">
        <v>666</v>
      </c>
      <c r="B22" s="64" t="s">
        <v>446</v>
      </c>
      <c r="C22" s="48" t="str">
        <f>"619216440975"</f>
        <v>619216440975</v>
      </c>
      <c r="D22" s="70">
        <v>7.01</v>
      </c>
      <c r="E22" s="39" t="s">
        <v>419</v>
      </c>
    </row>
    <row r="23" spans="1:5" x14ac:dyDescent="0.25">
      <c r="A23" s="60" t="s">
        <v>666</v>
      </c>
      <c r="B23" s="25" t="s">
        <v>446</v>
      </c>
      <c r="C23" s="5" t="str">
        <f>"619216440976"</f>
        <v>619216440976</v>
      </c>
      <c r="D23" s="68">
        <v>6.47</v>
      </c>
      <c r="E23" s="41" t="s">
        <v>419</v>
      </c>
    </row>
    <row r="24" spans="1:5" x14ac:dyDescent="0.25">
      <c r="A24" s="60" t="s">
        <v>666</v>
      </c>
      <c r="B24" s="25" t="s">
        <v>446</v>
      </c>
      <c r="C24" s="5" t="str">
        <f>"619216440977"</f>
        <v>619216440977</v>
      </c>
      <c r="D24" s="68">
        <v>6.35</v>
      </c>
      <c r="E24" s="41" t="s">
        <v>419</v>
      </c>
    </row>
    <row r="25" spans="1:5" x14ac:dyDescent="0.25">
      <c r="A25" s="60" t="s">
        <v>666</v>
      </c>
      <c r="B25" s="25" t="s">
        <v>446</v>
      </c>
      <c r="C25" s="5" t="str">
        <f>"619216440978"</f>
        <v>619216440978</v>
      </c>
      <c r="D25" s="68">
        <v>5.96</v>
      </c>
      <c r="E25" s="41" t="s">
        <v>419</v>
      </c>
    </row>
    <row r="26" spans="1:5" x14ac:dyDescent="0.25">
      <c r="A26" s="60" t="s">
        <v>666</v>
      </c>
      <c r="B26" s="25" t="s">
        <v>446</v>
      </c>
      <c r="C26" s="5" t="str">
        <f>"619216440979"</f>
        <v>619216440979</v>
      </c>
      <c r="D26" s="68">
        <v>5.88</v>
      </c>
      <c r="E26" s="41" t="s">
        <v>419</v>
      </c>
    </row>
    <row r="27" spans="1:5" x14ac:dyDescent="0.25">
      <c r="A27" s="60" t="s">
        <v>666</v>
      </c>
      <c r="B27" s="1" t="s">
        <v>446</v>
      </c>
      <c r="C27" s="5" t="str">
        <f>"619216441091"</f>
        <v>619216441091</v>
      </c>
      <c r="D27" s="68" t="s">
        <v>449</v>
      </c>
      <c r="E27" s="66" t="s">
        <v>420</v>
      </c>
    </row>
    <row r="28" spans="1:5" x14ac:dyDescent="0.25">
      <c r="A28" s="60" t="s">
        <v>666</v>
      </c>
      <c r="B28" s="1" t="s">
        <v>446</v>
      </c>
      <c r="C28" s="5" t="str">
        <f>"619216441092"</f>
        <v>619216441092</v>
      </c>
      <c r="D28" s="68" t="s">
        <v>449</v>
      </c>
      <c r="E28" s="66" t="s">
        <v>420</v>
      </c>
    </row>
    <row r="29" spans="1:5" x14ac:dyDescent="0.25">
      <c r="A29" s="60" t="s">
        <v>666</v>
      </c>
      <c r="B29" s="1" t="s">
        <v>446</v>
      </c>
      <c r="C29" s="5" t="str">
        <f>"619216441093"</f>
        <v>619216441093</v>
      </c>
      <c r="D29" s="68" t="s">
        <v>449</v>
      </c>
      <c r="E29" s="66" t="s">
        <v>420</v>
      </c>
    </row>
    <row r="30" spans="1:5" x14ac:dyDescent="0.25">
      <c r="A30" s="60" t="s">
        <v>666</v>
      </c>
      <c r="B30" s="1" t="s">
        <v>446</v>
      </c>
      <c r="C30" s="5" t="str">
        <f>"619216441097"</f>
        <v>619216441097</v>
      </c>
      <c r="D30" s="68" t="s">
        <v>449</v>
      </c>
      <c r="E30" s="66" t="s">
        <v>420</v>
      </c>
    </row>
    <row r="31" spans="1:5" x14ac:dyDescent="0.25">
      <c r="A31" s="60" t="s">
        <v>666</v>
      </c>
      <c r="B31" s="1" t="s">
        <v>446</v>
      </c>
      <c r="C31" s="5" t="str">
        <f>"619216441098"</f>
        <v>619216441098</v>
      </c>
      <c r="D31" s="68" t="s">
        <v>449</v>
      </c>
      <c r="E31" s="66" t="s">
        <v>420</v>
      </c>
    </row>
    <row r="32" spans="1:5" ht="15.75" thickBot="1" x14ac:dyDescent="0.3">
      <c r="A32" s="61" t="s">
        <v>666</v>
      </c>
      <c r="B32" s="62" t="s">
        <v>446</v>
      </c>
      <c r="C32" s="44" t="str">
        <f>"619216441099"</f>
        <v>619216441099</v>
      </c>
      <c r="D32" s="69" t="s">
        <v>449</v>
      </c>
      <c r="E32" s="46" t="s">
        <v>420</v>
      </c>
    </row>
    <row r="33" spans="1:5" x14ac:dyDescent="0.25">
      <c r="A33" s="58" t="s">
        <v>666</v>
      </c>
      <c r="B33" s="64" t="s">
        <v>447</v>
      </c>
      <c r="C33" s="48" t="str">
        <f>"619216440981"</f>
        <v>619216440981</v>
      </c>
      <c r="D33" s="70">
        <v>6.42</v>
      </c>
      <c r="E33" s="39" t="s">
        <v>419</v>
      </c>
    </row>
    <row r="34" spans="1:5" x14ac:dyDescent="0.25">
      <c r="A34" s="60" t="s">
        <v>666</v>
      </c>
      <c r="B34" s="25" t="s">
        <v>447</v>
      </c>
      <c r="C34" s="5" t="str">
        <f>"619216440980"</f>
        <v>619216440980</v>
      </c>
      <c r="D34" s="68">
        <v>5.93</v>
      </c>
      <c r="E34" s="41" t="s">
        <v>419</v>
      </c>
    </row>
    <row r="35" spans="1:5" x14ac:dyDescent="0.25">
      <c r="A35" s="60" t="s">
        <v>666</v>
      </c>
      <c r="B35" s="2" t="s">
        <v>447</v>
      </c>
      <c r="C35" s="5" t="str">
        <f>"619216441103"</f>
        <v>619216441103</v>
      </c>
      <c r="D35" s="68">
        <v>5.92</v>
      </c>
      <c r="E35" s="66" t="s">
        <v>420</v>
      </c>
    </row>
    <row r="36" spans="1:5" x14ac:dyDescent="0.25">
      <c r="A36" s="60" t="s">
        <v>666</v>
      </c>
      <c r="B36" s="2" t="s">
        <v>447</v>
      </c>
      <c r="C36" s="5" t="str">
        <f>"619216441100"</f>
        <v>619216441100</v>
      </c>
      <c r="D36" s="68" t="s">
        <v>449</v>
      </c>
      <c r="E36" s="66" t="s">
        <v>420</v>
      </c>
    </row>
    <row r="37" spans="1:5" ht="15.75" thickBot="1" x14ac:dyDescent="0.3">
      <c r="A37" s="61" t="s">
        <v>666</v>
      </c>
      <c r="B37" s="51" t="s">
        <v>447</v>
      </c>
      <c r="C37" s="44" t="str">
        <f>"619216441102"</f>
        <v>619216441102</v>
      </c>
      <c r="D37" s="69" t="s">
        <v>449</v>
      </c>
      <c r="E37" s="46" t="s">
        <v>420</v>
      </c>
    </row>
    <row r="38" spans="1:5" x14ac:dyDescent="0.25">
      <c r="A38" s="442" t="s">
        <v>843</v>
      </c>
      <c r="B38" s="443" t="s">
        <v>445</v>
      </c>
      <c r="C38" s="442" t="s">
        <v>837</v>
      </c>
      <c r="D38" s="444">
        <v>7.69</v>
      </c>
      <c r="E38" s="233" t="s">
        <v>419</v>
      </c>
    </row>
    <row r="39" spans="1:5" x14ac:dyDescent="0.25">
      <c r="A39" s="436" t="s">
        <v>843</v>
      </c>
      <c r="B39" s="434" t="s">
        <v>445</v>
      </c>
      <c r="C39" s="436" t="s">
        <v>838</v>
      </c>
      <c r="D39" s="435">
        <v>7.58</v>
      </c>
      <c r="E39" s="225" t="s">
        <v>419</v>
      </c>
    </row>
    <row r="40" spans="1:5" x14ac:dyDescent="0.25">
      <c r="A40" s="436" t="s">
        <v>843</v>
      </c>
      <c r="B40" s="434" t="s">
        <v>445</v>
      </c>
      <c r="C40" s="436" t="s">
        <v>839</v>
      </c>
      <c r="D40" s="435">
        <v>7.52</v>
      </c>
      <c r="E40" s="225" t="s">
        <v>419</v>
      </c>
    </row>
    <row r="41" spans="1:5" x14ac:dyDescent="0.25">
      <c r="A41" s="436" t="s">
        <v>843</v>
      </c>
      <c r="B41" s="434" t="s">
        <v>445</v>
      </c>
      <c r="C41" s="436" t="s">
        <v>840</v>
      </c>
      <c r="D41" s="435">
        <v>7</v>
      </c>
      <c r="E41" s="225" t="s">
        <v>419</v>
      </c>
    </row>
    <row r="42" spans="1:5" x14ac:dyDescent="0.25">
      <c r="A42" s="436" t="s">
        <v>843</v>
      </c>
      <c r="B42" s="434" t="s">
        <v>445</v>
      </c>
      <c r="C42" s="436" t="s">
        <v>841</v>
      </c>
      <c r="D42" s="435">
        <v>6.95</v>
      </c>
      <c r="E42" s="225" t="s">
        <v>419</v>
      </c>
    </row>
    <row r="43" spans="1:5" ht="15.75" thickBot="1" x14ac:dyDescent="0.3">
      <c r="A43" s="448" t="s">
        <v>843</v>
      </c>
      <c r="B43" s="449" t="s">
        <v>445</v>
      </c>
      <c r="C43" s="448" t="s">
        <v>842</v>
      </c>
      <c r="D43" s="450">
        <v>6.39</v>
      </c>
      <c r="E43" s="260" t="s">
        <v>419</v>
      </c>
    </row>
    <row r="44" spans="1:5" x14ac:dyDescent="0.25">
      <c r="A44" s="445" t="s">
        <v>843</v>
      </c>
      <c r="B44" s="458" t="s">
        <v>446</v>
      </c>
      <c r="C44" s="445" t="s">
        <v>844</v>
      </c>
      <c r="D44" s="446" t="s">
        <v>854</v>
      </c>
      <c r="E44" s="447" t="s">
        <v>420</v>
      </c>
    </row>
    <row r="45" spans="1:5" x14ac:dyDescent="0.25">
      <c r="A45" s="440" t="s">
        <v>843</v>
      </c>
      <c r="B45" s="439" t="s">
        <v>446</v>
      </c>
      <c r="C45" s="440" t="s">
        <v>845</v>
      </c>
      <c r="D45" s="441" t="s">
        <v>854</v>
      </c>
      <c r="E45" s="66" t="s">
        <v>420</v>
      </c>
    </row>
    <row r="46" spans="1:5" x14ac:dyDescent="0.25">
      <c r="A46" s="440" t="s">
        <v>843</v>
      </c>
      <c r="B46" s="439" t="s">
        <v>446</v>
      </c>
      <c r="C46" s="440" t="s">
        <v>846</v>
      </c>
      <c r="D46" s="441" t="s">
        <v>854</v>
      </c>
      <c r="E46" s="66" t="s">
        <v>420</v>
      </c>
    </row>
    <row r="47" spans="1:5" x14ac:dyDescent="0.25">
      <c r="A47" s="440" t="s">
        <v>843</v>
      </c>
      <c r="B47" s="439" t="s">
        <v>446</v>
      </c>
      <c r="C47" s="440" t="s">
        <v>847</v>
      </c>
      <c r="D47" s="438">
        <v>7.11</v>
      </c>
      <c r="E47" s="225" t="s">
        <v>419</v>
      </c>
    </row>
    <row r="48" spans="1:5" x14ac:dyDescent="0.25">
      <c r="A48" s="440" t="s">
        <v>843</v>
      </c>
      <c r="B48" s="439" t="s">
        <v>446</v>
      </c>
      <c r="C48" s="440" t="s">
        <v>848</v>
      </c>
      <c r="D48" s="438">
        <v>6.87</v>
      </c>
      <c r="E48" s="225" t="s">
        <v>419</v>
      </c>
    </row>
    <row r="49" spans="1:5" x14ac:dyDescent="0.25">
      <c r="A49" s="440" t="s">
        <v>843</v>
      </c>
      <c r="B49" s="439" t="s">
        <v>446</v>
      </c>
      <c r="C49" s="440" t="s">
        <v>849</v>
      </c>
      <c r="D49" s="438">
        <v>6.53</v>
      </c>
      <c r="E49" s="225" t="s">
        <v>419</v>
      </c>
    </row>
    <row r="50" spans="1:5" x14ac:dyDescent="0.25">
      <c r="A50" s="440" t="s">
        <v>843</v>
      </c>
      <c r="B50" s="439" t="s">
        <v>446</v>
      </c>
      <c r="C50" s="440" t="s">
        <v>850</v>
      </c>
      <c r="D50" s="438">
        <v>6.26</v>
      </c>
      <c r="E50" s="225" t="s">
        <v>419</v>
      </c>
    </row>
    <row r="51" spans="1:5" x14ac:dyDescent="0.25">
      <c r="A51" s="440" t="s">
        <v>843</v>
      </c>
      <c r="B51" s="439" t="s">
        <v>446</v>
      </c>
      <c r="C51" s="440" t="s">
        <v>851</v>
      </c>
      <c r="D51" s="438">
        <v>6.2</v>
      </c>
      <c r="E51" s="225" t="s">
        <v>419</v>
      </c>
    </row>
    <row r="52" spans="1:5" x14ac:dyDescent="0.25">
      <c r="A52" s="440" t="s">
        <v>843</v>
      </c>
      <c r="B52" s="439" t="s">
        <v>446</v>
      </c>
      <c r="C52" s="440" t="s">
        <v>852</v>
      </c>
      <c r="D52" s="437">
        <v>5.88</v>
      </c>
      <c r="E52" s="66" t="s">
        <v>420</v>
      </c>
    </row>
    <row r="53" spans="1:5" ht="15.75" thickBot="1" x14ac:dyDescent="0.3">
      <c r="A53" s="456" t="s">
        <v>843</v>
      </c>
      <c r="B53" s="459" t="s">
        <v>446</v>
      </c>
      <c r="C53" s="456" t="s">
        <v>853</v>
      </c>
      <c r="D53" s="457">
        <v>5.8</v>
      </c>
      <c r="E53" s="46" t="s">
        <v>420</v>
      </c>
    </row>
    <row r="54" spans="1:5" x14ac:dyDescent="0.25">
      <c r="A54" s="453" t="s">
        <v>843</v>
      </c>
      <c r="B54" s="454" t="s">
        <v>447</v>
      </c>
      <c r="C54" s="453" t="s">
        <v>855</v>
      </c>
      <c r="D54" s="455" t="s">
        <v>854</v>
      </c>
      <c r="E54" s="447" t="s">
        <v>420</v>
      </c>
    </row>
    <row r="55" spans="1:5" x14ac:dyDescent="0.25">
      <c r="A55" s="452" t="s">
        <v>843</v>
      </c>
      <c r="B55" s="451" t="s">
        <v>447</v>
      </c>
      <c r="C55" s="452" t="s">
        <v>856</v>
      </c>
      <c r="D55" s="451">
        <v>6.68</v>
      </c>
      <c r="E55" s="225" t="s">
        <v>419</v>
      </c>
    </row>
    <row r="56" spans="1:5" x14ac:dyDescent="0.25">
      <c r="A56" s="557" t="s">
        <v>843</v>
      </c>
      <c r="B56" s="558" t="s">
        <v>447</v>
      </c>
      <c r="C56" s="557" t="s">
        <v>857</v>
      </c>
      <c r="D56" s="558">
        <v>6.37</v>
      </c>
      <c r="E56" s="366" t="s">
        <v>419</v>
      </c>
    </row>
    <row r="57" spans="1:5" x14ac:dyDescent="0.25">
      <c r="A57" s="556" t="s">
        <v>1067</v>
      </c>
      <c r="B57" s="451" t="s">
        <v>445</v>
      </c>
      <c r="C57" s="2" t="str">
        <f>"619217443047"</f>
        <v>619217443047</v>
      </c>
      <c r="D57" s="2">
        <v>8.02</v>
      </c>
      <c r="E57" s="225" t="s">
        <v>419</v>
      </c>
    </row>
    <row r="58" spans="1:5" x14ac:dyDescent="0.25">
      <c r="A58" s="556" t="s">
        <v>1067</v>
      </c>
      <c r="B58" s="451" t="s">
        <v>445</v>
      </c>
      <c r="C58" s="2" t="str">
        <f>"619217373048"</f>
        <v>619217373048</v>
      </c>
      <c r="D58" s="2">
        <v>7.36</v>
      </c>
      <c r="E58" s="225" t="s">
        <v>419</v>
      </c>
    </row>
    <row r="59" spans="1:5" x14ac:dyDescent="0.25">
      <c r="A59" s="556" t="s">
        <v>1067</v>
      </c>
      <c r="B59" s="451" t="s">
        <v>445</v>
      </c>
      <c r="C59" s="2" t="str">
        <f>"619217443045"</f>
        <v>619217443045</v>
      </c>
      <c r="D59" s="2">
        <v>7.36</v>
      </c>
      <c r="E59" s="225" t="s">
        <v>419</v>
      </c>
    </row>
    <row r="60" spans="1:5" x14ac:dyDescent="0.25">
      <c r="A60" s="556" t="s">
        <v>1067</v>
      </c>
      <c r="B60" s="451" t="s">
        <v>445</v>
      </c>
      <c r="C60" s="2" t="str">
        <f>"619217443083"</f>
        <v>619217443083</v>
      </c>
      <c r="D60" s="2">
        <v>7.27</v>
      </c>
      <c r="E60" s="225" t="s">
        <v>419</v>
      </c>
    </row>
    <row r="61" spans="1:5" x14ac:dyDescent="0.25">
      <c r="A61" s="556" t="s">
        <v>1067</v>
      </c>
      <c r="B61" s="451" t="s">
        <v>445</v>
      </c>
      <c r="C61" s="2" t="str">
        <f>"619217443080"</f>
        <v>619217443080</v>
      </c>
      <c r="D61" s="2">
        <v>6.62</v>
      </c>
      <c r="E61" s="225" t="s">
        <v>419</v>
      </c>
    </row>
    <row r="62" spans="1:5" x14ac:dyDescent="0.25">
      <c r="A62" s="556" t="s">
        <v>1067</v>
      </c>
      <c r="B62" s="451" t="s">
        <v>445</v>
      </c>
      <c r="C62" s="2" t="str">
        <f>"619217443054"</f>
        <v>619217443054</v>
      </c>
      <c r="D62" s="2">
        <v>5.27</v>
      </c>
      <c r="E62" s="226" t="s">
        <v>420</v>
      </c>
    </row>
    <row r="63" spans="1:5" x14ac:dyDescent="0.25">
      <c r="A63" s="556" t="s">
        <v>1067</v>
      </c>
      <c r="B63" s="451" t="s">
        <v>445</v>
      </c>
      <c r="C63" s="2" t="str">
        <f>"619217443053"</f>
        <v>619217443053</v>
      </c>
      <c r="D63" s="2">
        <v>5.53</v>
      </c>
      <c r="E63" s="226" t="s">
        <v>420</v>
      </c>
    </row>
    <row r="64" spans="1:5" x14ac:dyDescent="0.25">
      <c r="A64" s="556" t="s">
        <v>1067</v>
      </c>
      <c r="B64" s="451" t="s">
        <v>446</v>
      </c>
      <c r="C64" s="2" t="str">
        <f>"619217443050"</f>
        <v>619217443050</v>
      </c>
      <c r="D64" s="2">
        <v>7.58</v>
      </c>
      <c r="E64" s="225" t="s">
        <v>419</v>
      </c>
    </row>
    <row r="65" spans="1:5" x14ac:dyDescent="0.25">
      <c r="A65" s="556" t="s">
        <v>1067</v>
      </c>
      <c r="B65" s="451" t="s">
        <v>446</v>
      </c>
      <c r="C65" s="2" t="str">
        <f>"619217443052"</f>
        <v>619217443052</v>
      </c>
      <c r="D65" s="2">
        <v>6.82</v>
      </c>
      <c r="E65" s="225" t="s">
        <v>419</v>
      </c>
    </row>
    <row r="66" spans="1:5" x14ac:dyDescent="0.25">
      <c r="A66" s="556" t="s">
        <v>1067</v>
      </c>
      <c r="B66" s="451" t="s">
        <v>446</v>
      </c>
      <c r="C66" s="2" t="str">
        <f>"619217443049"</f>
        <v>619217443049</v>
      </c>
      <c r="D66" s="2">
        <v>6.75</v>
      </c>
      <c r="E66" s="225" t="s">
        <v>419</v>
      </c>
    </row>
    <row r="67" spans="1:5" x14ac:dyDescent="0.25">
      <c r="A67" s="556" t="s">
        <v>1067</v>
      </c>
      <c r="B67" s="451" t="s">
        <v>446</v>
      </c>
      <c r="C67" s="2" t="str">
        <f>"619217443084"</f>
        <v>619217443084</v>
      </c>
      <c r="D67" s="2">
        <v>5.65</v>
      </c>
      <c r="E67" s="226" t="s">
        <v>420</v>
      </c>
    </row>
    <row r="68" spans="1:5" x14ac:dyDescent="0.25">
      <c r="A68" s="556" t="s">
        <v>1067</v>
      </c>
      <c r="B68" s="451" t="s">
        <v>447</v>
      </c>
      <c r="C68" s="2" t="str">
        <f>"619217443085"</f>
        <v>619217443085</v>
      </c>
      <c r="D68" s="2">
        <v>6.05</v>
      </c>
      <c r="E68" s="225" t="s">
        <v>419</v>
      </c>
    </row>
    <row r="69" spans="1:5" x14ac:dyDescent="0.25">
      <c r="A69" s="556" t="s">
        <v>1067</v>
      </c>
      <c r="B69" s="451" t="s">
        <v>447</v>
      </c>
      <c r="C69" s="2" t="str">
        <f>"619217443046"</f>
        <v>619217443046</v>
      </c>
      <c r="D69" s="2">
        <v>6.72</v>
      </c>
      <c r="E69" s="225" t="s">
        <v>419</v>
      </c>
    </row>
    <row r="70" spans="1:5" x14ac:dyDescent="0.25">
      <c r="A70" s="2" t="s">
        <v>1118</v>
      </c>
      <c r="B70" s="2" t="s">
        <v>446</v>
      </c>
      <c r="C70" s="2">
        <v>19201800354</v>
      </c>
      <c r="D70" s="2">
        <v>7.43</v>
      </c>
      <c r="E70" s="225" t="s">
        <v>419</v>
      </c>
    </row>
    <row r="71" spans="1:5" x14ac:dyDescent="0.25">
      <c r="A71" s="2" t="s">
        <v>1118</v>
      </c>
      <c r="B71" s="2" t="s">
        <v>446</v>
      </c>
      <c r="C71" s="2">
        <v>19201800464</v>
      </c>
      <c r="D71" s="2">
        <v>6.85</v>
      </c>
      <c r="E71" s="225" t="s">
        <v>419</v>
      </c>
    </row>
    <row r="72" spans="1:5" x14ac:dyDescent="0.25">
      <c r="A72" s="2" t="s">
        <v>1118</v>
      </c>
      <c r="B72" s="2" t="s">
        <v>446</v>
      </c>
      <c r="C72" s="2">
        <v>19201800438</v>
      </c>
      <c r="D72" s="2">
        <v>6.83</v>
      </c>
      <c r="E72" s="225" t="s">
        <v>419</v>
      </c>
    </row>
    <row r="73" spans="1:5" x14ac:dyDescent="0.25">
      <c r="A73" s="2" t="s">
        <v>1118</v>
      </c>
      <c r="B73" s="2" t="s">
        <v>446</v>
      </c>
      <c r="C73" s="2">
        <v>19201800474</v>
      </c>
      <c r="D73" s="2">
        <v>6.82</v>
      </c>
      <c r="E73" s="226" t="s">
        <v>420</v>
      </c>
    </row>
    <row r="74" spans="1:5" x14ac:dyDescent="0.25">
      <c r="A74" s="2" t="s">
        <v>1118</v>
      </c>
      <c r="B74" s="2" t="s">
        <v>446</v>
      </c>
      <c r="C74" s="2">
        <v>19201800482</v>
      </c>
      <c r="D74" s="2">
        <v>6.36</v>
      </c>
      <c r="E74" s="226" t="s">
        <v>420</v>
      </c>
    </row>
    <row r="75" spans="1:5" x14ac:dyDescent="0.25">
      <c r="A75" s="2" t="s">
        <v>1118</v>
      </c>
      <c r="B75" s="2" t="s">
        <v>446</v>
      </c>
      <c r="C75" s="2">
        <v>19201800447</v>
      </c>
      <c r="D75" s="2">
        <v>6.28</v>
      </c>
      <c r="E75" s="226" t="s">
        <v>420</v>
      </c>
    </row>
    <row r="76" spans="1:5" x14ac:dyDescent="0.25">
      <c r="A76" s="2" t="s">
        <v>1118</v>
      </c>
      <c r="B76" s="26" t="s">
        <v>447</v>
      </c>
      <c r="C76" s="2">
        <v>19201800450</v>
      </c>
      <c r="D76" s="2">
        <v>7.26</v>
      </c>
      <c r="E76" s="225" t="s">
        <v>419</v>
      </c>
    </row>
    <row r="77" spans="1:5" x14ac:dyDescent="0.25">
      <c r="A77" s="2" t="s">
        <v>1118</v>
      </c>
      <c r="B77" s="26" t="s">
        <v>447</v>
      </c>
      <c r="C77" s="2">
        <v>19201800471</v>
      </c>
      <c r="D77" s="2">
        <v>5.84</v>
      </c>
      <c r="E77" s="225" t="s">
        <v>419</v>
      </c>
    </row>
    <row r="78" spans="1:5" x14ac:dyDescent="0.25">
      <c r="A78" s="2" t="s">
        <v>1118</v>
      </c>
      <c r="B78" s="451" t="s">
        <v>445</v>
      </c>
      <c r="C78" s="2">
        <v>19201800488</v>
      </c>
      <c r="D78" s="2">
        <v>6.62</v>
      </c>
      <c r="E78" s="226" t="s">
        <v>420</v>
      </c>
    </row>
    <row r="79" spans="1:5" x14ac:dyDescent="0.25">
      <c r="A79" s="2" t="s">
        <v>1118</v>
      </c>
      <c r="B79" s="451" t="s">
        <v>445</v>
      </c>
      <c r="C79" s="2">
        <v>19201800479</v>
      </c>
      <c r="D79" s="26">
        <v>6.55</v>
      </c>
      <c r="E79" s="225" t="s">
        <v>419</v>
      </c>
    </row>
    <row r="80" spans="1:5" x14ac:dyDescent="0.25">
      <c r="A80" s="2" t="s">
        <v>1118</v>
      </c>
      <c r="B80" s="451" t="s">
        <v>445</v>
      </c>
      <c r="C80" s="2">
        <v>19201800460</v>
      </c>
      <c r="D80" s="26">
        <v>6.44</v>
      </c>
      <c r="E80" s="225" t="s">
        <v>419</v>
      </c>
    </row>
    <row r="81" spans="1:5" x14ac:dyDescent="0.25">
      <c r="A81" s="2" t="s">
        <v>1118</v>
      </c>
      <c r="B81" s="451" t="s">
        <v>445</v>
      </c>
      <c r="C81" s="2">
        <v>19201800467</v>
      </c>
      <c r="D81" s="26">
        <v>6.32</v>
      </c>
      <c r="E81" s="225" t="s">
        <v>419</v>
      </c>
    </row>
    <row r="82" spans="1:5" x14ac:dyDescent="0.25">
      <c r="A82" s="2" t="s">
        <v>1118</v>
      </c>
      <c r="B82" s="451" t="s">
        <v>445</v>
      </c>
      <c r="C82" s="2">
        <v>19201800484</v>
      </c>
      <c r="D82" s="26">
        <v>6.23</v>
      </c>
      <c r="E82" s="225" t="s">
        <v>419</v>
      </c>
    </row>
    <row r="83" spans="1:5" x14ac:dyDescent="0.25">
      <c r="A83" s="2" t="s">
        <v>1118</v>
      </c>
      <c r="B83" s="451" t="s">
        <v>445</v>
      </c>
      <c r="C83" s="2">
        <v>19201800487</v>
      </c>
      <c r="D83" s="26">
        <v>6.07</v>
      </c>
      <c r="E83" s="225" t="s">
        <v>419</v>
      </c>
    </row>
    <row r="84" spans="1:5" x14ac:dyDescent="0.25">
      <c r="A84" s="2" t="s">
        <v>1118</v>
      </c>
      <c r="B84" s="451" t="s">
        <v>445</v>
      </c>
      <c r="C84" s="2">
        <v>19201800452</v>
      </c>
      <c r="D84" s="26">
        <v>5.52</v>
      </c>
      <c r="E84" s="226" t="s">
        <v>420</v>
      </c>
    </row>
    <row r="85" spans="1:5" x14ac:dyDescent="0.25">
      <c r="A85" s="2" t="s">
        <v>1118</v>
      </c>
      <c r="B85" s="451" t="s">
        <v>445</v>
      </c>
      <c r="C85" s="2">
        <v>19201800475</v>
      </c>
      <c r="D85" s="26">
        <v>5.42</v>
      </c>
      <c r="E85" s="226" t="s">
        <v>420</v>
      </c>
    </row>
    <row r="86" spans="1:5" x14ac:dyDescent="0.25">
      <c r="A86" s="2" t="s">
        <v>1118</v>
      </c>
      <c r="B86" s="451" t="s">
        <v>445</v>
      </c>
      <c r="C86" s="2">
        <v>19201800473</v>
      </c>
      <c r="D86" s="26">
        <v>5.09</v>
      </c>
      <c r="E86" s="226" t="s">
        <v>420</v>
      </c>
    </row>
    <row r="87" spans="1:5" x14ac:dyDescent="0.25">
      <c r="A87" s="26" t="s">
        <v>1159</v>
      </c>
      <c r="B87" s="451" t="s">
        <v>445</v>
      </c>
      <c r="C87" s="2">
        <v>19201801046</v>
      </c>
      <c r="D87" s="2">
        <v>7.77</v>
      </c>
      <c r="E87" s="225" t="s">
        <v>419</v>
      </c>
    </row>
    <row r="88" spans="1:5" x14ac:dyDescent="0.25">
      <c r="A88" s="26" t="s">
        <v>1159</v>
      </c>
      <c r="B88" s="451" t="s">
        <v>445</v>
      </c>
      <c r="C88" s="2">
        <v>19201801026</v>
      </c>
      <c r="D88" s="2">
        <v>7</v>
      </c>
      <c r="E88" s="225" t="s">
        <v>419</v>
      </c>
    </row>
    <row r="89" spans="1:5" x14ac:dyDescent="0.25">
      <c r="A89" s="26" t="s">
        <v>1159</v>
      </c>
      <c r="B89" s="451" t="s">
        <v>445</v>
      </c>
      <c r="C89" s="2">
        <v>19201801044</v>
      </c>
      <c r="D89" s="2">
        <v>6.44</v>
      </c>
      <c r="E89" s="225" t="s">
        <v>419</v>
      </c>
    </row>
    <row r="90" spans="1:5" x14ac:dyDescent="0.25">
      <c r="A90" s="26" t="s">
        <v>1159</v>
      </c>
      <c r="B90" s="451" t="s">
        <v>445</v>
      </c>
      <c r="C90" s="2">
        <v>19201801032</v>
      </c>
      <c r="D90" s="2">
        <v>5.17</v>
      </c>
      <c r="E90" s="226" t="s">
        <v>420</v>
      </c>
    </row>
    <row r="91" spans="1:5" x14ac:dyDescent="0.25">
      <c r="A91" s="26" t="s">
        <v>1159</v>
      </c>
      <c r="B91" s="451" t="s">
        <v>446</v>
      </c>
      <c r="C91" s="2">
        <v>19201801028</v>
      </c>
      <c r="D91" s="2">
        <v>7.91</v>
      </c>
      <c r="E91" s="225" t="s">
        <v>419</v>
      </c>
    </row>
    <row r="92" spans="1:5" x14ac:dyDescent="0.25">
      <c r="A92" s="26" t="s">
        <v>1159</v>
      </c>
      <c r="B92" s="451" t="s">
        <v>446</v>
      </c>
      <c r="C92" s="2">
        <v>19201801048</v>
      </c>
      <c r="D92" s="2">
        <v>7.29</v>
      </c>
      <c r="E92" s="225" t="s">
        <v>419</v>
      </c>
    </row>
    <row r="93" spans="1:5" x14ac:dyDescent="0.25">
      <c r="A93" s="26" t="s">
        <v>1159</v>
      </c>
      <c r="B93" s="451" t="s">
        <v>446</v>
      </c>
      <c r="C93" s="2">
        <v>19201801040</v>
      </c>
      <c r="D93" s="2">
        <v>7.22</v>
      </c>
      <c r="E93" s="225" t="s">
        <v>419</v>
      </c>
    </row>
    <row r="94" spans="1:5" x14ac:dyDescent="0.25">
      <c r="A94" s="26" t="s">
        <v>1159</v>
      </c>
      <c r="B94" s="451" t="s">
        <v>446</v>
      </c>
      <c r="C94" s="2">
        <v>19201801042</v>
      </c>
      <c r="D94" s="2">
        <v>7.1</v>
      </c>
      <c r="E94" s="225" t="s">
        <v>419</v>
      </c>
    </row>
    <row r="95" spans="1:5" x14ac:dyDescent="0.25">
      <c r="A95" s="26" t="s">
        <v>1159</v>
      </c>
      <c r="B95" s="451" t="s">
        <v>446</v>
      </c>
      <c r="C95" s="2">
        <v>19201801043</v>
      </c>
      <c r="D95" s="2">
        <v>6.83</v>
      </c>
      <c r="E95" s="225" t="s">
        <v>419</v>
      </c>
    </row>
    <row r="96" spans="1:5" x14ac:dyDescent="0.25">
      <c r="A96" s="26" t="s">
        <v>1159</v>
      </c>
      <c r="B96" s="451" t="s">
        <v>446</v>
      </c>
      <c r="C96" s="2">
        <v>19201801021</v>
      </c>
      <c r="D96" s="2">
        <v>6.08</v>
      </c>
      <c r="E96" s="226" t="s">
        <v>420</v>
      </c>
    </row>
    <row r="97" spans="1:5" x14ac:dyDescent="0.25">
      <c r="A97" s="26" t="s">
        <v>1159</v>
      </c>
      <c r="B97" s="451" t="s">
        <v>447</v>
      </c>
      <c r="C97" s="2">
        <v>19201801045</v>
      </c>
      <c r="D97" s="2">
        <v>7.11</v>
      </c>
      <c r="E97" s="225" t="s">
        <v>419</v>
      </c>
    </row>
    <row r="98" spans="1:5" x14ac:dyDescent="0.25">
      <c r="A98" s="655" t="s">
        <v>1188</v>
      </c>
      <c r="B98" s="681" t="s">
        <v>445</v>
      </c>
      <c r="C98" s="682">
        <v>19201900473</v>
      </c>
      <c r="D98" s="678">
        <v>7.24</v>
      </c>
      <c r="E98" s="257" t="s">
        <v>419</v>
      </c>
    </row>
    <row r="99" spans="1:5" x14ac:dyDescent="0.25">
      <c r="A99" s="655" t="s">
        <v>1188</v>
      </c>
      <c r="B99" s="681" t="s">
        <v>445</v>
      </c>
      <c r="C99" s="682">
        <v>19201900450</v>
      </c>
      <c r="D99" s="678">
        <v>7.12</v>
      </c>
      <c r="E99" s="257" t="s">
        <v>419</v>
      </c>
    </row>
    <row r="100" spans="1:5" x14ac:dyDescent="0.25">
      <c r="A100" s="655" t="s">
        <v>1188</v>
      </c>
      <c r="B100" s="681" t="s">
        <v>445</v>
      </c>
      <c r="C100" s="682">
        <v>19201900409</v>
      </c>
      <c r="D100" s="678">
        <v>6.82</v>
      </c>
      <c r="E100" s="257" t="s">
        <v>419</v>
      </c>
    </row>
    <row r="101" spans="1:5" x14ac:dyDescent="0.25">
      <c r="A101" s="655" t="s">
        <v>1188</v>
      </c>
      <c r="B101" s="681" t="s">
        <v>445</v>
      </c>
      <c r="C101" s="682">
        <v>19201900444</v>
      </c>
      <c r="D101" s="678">
        <v>6.54</v>
      </c>
      <c r="E101" s="257" t="s">
        <v>419</v>
      </c>
    </row>
    <row r="102" spans="1:5" x14ac:dyDescent="0.25">
      <c r="A102" s="655" t="s">
        <v>1188</v>
      </c>
      <c r="B102" s="681" t="s">
        <v>445</v>
      </c>
      <c r="C102" s="682">
        <v>19201900451</v>
      </c>
      <c r="D102" s="678">
        <v>6.31</v>
      </c>
      <c r="E102" s="257" t="s">
        <v>419</v>
      </c>
    </row>
    <row r="103" spans="1:5" x14ac:dyDescent="0.25">
      <c r="A103" s="655" t="s">
        <v>1188</v>
      </c>
      <c r="B103" s="681" t="s">
        <v>445</v>
      </c>
      <c r="C103" s="682">
        <v>19201900442</v>
      </c>
      <c r="D103" s="678">
        <v>5.98</v>
      </c>
      <c r="E103" s="683" t="s">
        <v>420</v>
      </c>
    </row>
    <row r="104" spans="1:5" x14ac:dyDescent="0.25">
      <c r="A104" s="655" t="s">
        <v>1188</v>
      </c>
      <c r="B104" s="681" t="s">
        <v>445</v>
      </c>
      <c r="C104" s="682">
        <v>19201900460</v>
      </c>
      <c r="D104" s="678">
        <v>5.64</v>
      </c>
      <c r="E104" s="683" t="s">
        <v>420</v>
      </c>
    </row>
    <row r="105" spans="1:5" x14ac:dyDescent="0.25">
      <c r="A105" s="655" t="s">
        <v>1188</v>
      </c>
      <c r="B105" s="681" t="s">
        <v>445</v>
      </c>
      <c r="C105" s="682">
        <v>19201900466</v>
      </c>
      <c r="D105" s="678">
        <v>5.3</v>
      </c>
      <c r="E105" s="683" t="s">
        <v>420</v>
      </c>
    </row>
    <row r="106" spans="1:5" x14ac:dyDescent="0.25">
      <c r="A106" s="655" t="s">
        <v>1188</v>
      </c>
      <c r="B106" s="681" t="s">
        <v>445</v>
      </c>
      <c r="C106" s="682">
        <v>19201900414</v>
      </c>
      <c r="D106" s="678">
        <v>5.28</v>
      </c>
      <c r="E106" s="683" t="s">
        <v>420</v>
      </c>
    </row>
    <row r="107" spans="1:5" x14ac:dyDescent="0.25">
      <c r="A107" s="684" t="s">
        <v>1188</v>
      </c>
      <c r="B107" s="685" t="s">
        <v>447</v>
      </c>
      <c r="C107" s="658">
        <v>19201900427</v>
      </c>
      <c r="D107" s="686">
        <v>7.11</v>
      </c>
      <c r="E107" s="687" t="s">
        <v>419</v>
      </c>
    </row>
    <row r="108" spans="1:5" x14ac:dyDescent="0.25">
      <c r="A108" s="684" t="s">
        <v>1188</v>
      </c>
      <c r="B108" s="685" t="s">
        <v>447</v>
      </c>
      <c r="C108" s="658">
        <v>19201900448</v>
      </c>
      <c r="D108" s="686">
        <v>7.07</v>
      </c>
      <c r="E108" s="687" t="s">
        <v>419</v>
      </c>
    </row>
    <row r="109" spans="1:5" x14ac:dyDescent="0.25">
      <c r="A109" s="684" t="s">
        <v>1188</v>
      </c>
      <c r="B109" s="685" t="s">
        <v>447</v>
      </c>
      <c r="C109" s="658">
        <v>19201900465</v>
      </c>
      <c r="D109" s="686">
        <v>6.9</v>
      </c>
      <c r="E109" s="687" t="s">
        <v>419</v>
      </c>
    </row>
    <row r="110" spans="1:5" x14ac:dyDescent="0.25">
      <c r="A110" s="684" t="s">
        <v>1188</v>
      </c>
      <c r="B110" s="685" t="s">
        <v>447</v>
      </c>
      <c r="C110" s="658">
        <v>19201900437</v>
      </c>
      <c r="D110" s="686">
        <v>6.88</v>
      </c>
      <c r="E110" s="687" t="s">
        <v>419</v>
      </c>
    </row>
    <row r="111" spans="1:5" x14ac:dyDescent="0.25">
      <c r="A111" s="684" t="s">
        <v>1188</v>
      </c>
      <c r="B111" s="685" t="s">
        <v>447</v>
      </c>
      <c r="C111" s="658">
        <v>19201900464</v>
      </c>
      <c r="D111" s="686">
        <v>6.79</v>
      </c>
      <c r="E111" s="687" t="s">
        <v>419</v>
      </c>
    </row>
    <row r="112" spans="1:5" x14ac:dyDescent="0.25">
      <c r="A112" s="688" t="s">
        <v>1188</v>
      </c>
      <c r="B112" s="689" t="s">
        <v>447</v>
      </c>
      <c r="C112" s="693">
        <v>19201900452</v>
      </c>
      <c r="D112" s="690">
        <v>6.38</v>
      </c>
      <c r="E112" s="691" t="s">
        <v>419</v>
      </c>
    </row>
    <row r="113" spans="1:5" x14ac:dyDescent="0.25">
      <c r="A113" s="684" t="s">
        <v>1190</v>
      </c>
      <c r="B113" s="694" t="s">
        <v>446</v>
      </c>
      <c r="C113" s="680">
        <v>19201900406</v>
      </c>
      <c r="D113" s="686">
        <v>6.96</v>
      </c>
      <c r="E113" s="687" t="s">
        <v>1191</v>
      </c>
    </row>
    <row r="114" spans="1:5" x14ac:dyDescent="0.25">
      <c r="A114" s="684" t="s">
        <v>1190</v>
      </c>
      <c r="B114" s="694" t="s">
        <v>446</v>
      </c>
      <c r="C114" s="680">
        <v>19201900453</v>
      </c>
      <c r="D114" s="686">
        <v>6.86</v>
      </c>
      <c r="E114" s="687" t="s">
        <v>1191</v>
      </c>
    </row>
    <row r="115" spans="1:5" x14ac:dyDescent="0.25">
      <c r="A115" s="684" t="s">
        <v>1190</v>
      </c>
      <c r="B115" s="694" t="s">
        <v>446</v>
      </c>
      <c r="C115" s="680">
        <v>19201900410</v>
      </c>
      <c r="D115" s="686">
        <v>6.83</v>
      </c>
      <c r="E115" s="687" t="s">
        <v>1191</v>
      </c>
    </row>
    <row r="116" spans="1:5" x14ac:dyDescent="0.25">
      <c r="A116" s="684" t="s">
        <v>1190</v>
      </c>
      <c r="B116" s="694" t="s">
        <v>446</v>
      </c>
      <c r="C116" s="680">
        <v>19201900446</v>
      </c>
      <c r="D116" s="686">
        <v>6.67</v>
      </c>
      <c r="E116" s="687" t="s">
        <v>1191</v>
      </c>
    </row>
    <row r="117" spans="1:5" x14ac:dyDescent="0.25">
      <c r="A117" s="684" t="s">
        <v>1190</v>
      </c>
      <c r="B117" s="694" t="s">
        <v>446</v>
      </c>
      <c r="C117" s="680">
        <v>19201900434</v>
      </c>
      <c r="D117" s="686">
        <v>6.62</v>
      </c>
      <c r="E117" s="687" t="s">
        <v>1191</v>
      </c>
    </row>
    <row r="118" spans="1:5" x14ac:dyDescent="0.25">
      <c r="A118" s="684" t="s">
        <v>1190</v>
      </c>
      <c r="B118" s="694" t="s">
        <v>446</v>
      </c>
      <c r="C118" s="680">
        <v>19201900459</v>
      </c>
      <c r="D118" s="686">
        <v>6.6</v>
      </c>
      <c r="E118" s="687" t="s">
        <v>1191</v>
      </c>
    </row>
    <row r="119" spans="1:5" x14ac:dyDescent="0.25">
      <c r="A119" s="684" t="s">
        <v>1190</v>
      </c>
      <c r="B119" s="694" t="s">
        <v>446</v>
      </c>
      <c r="C119" s="680">
        <v>19201900463</v>
      </c>
      <c r="D119" s="686">
        <v>6.6</v>
      </c>
      <c r="E119" s="687" t="s">
        <v>1191</v>
      </c>
    </row>
    <row r="120" spans="1:5" x14ac:dyDescent="0.25">
      <c r="A120" s="684" t="s">
        <v>1190</v>
      </c>
      <c r="B120" s="694" t="s">
        <v>446</v>
      </c>
      <c r="C120" s="680">
        <v>19201900454</v>
      </c>
      <c r="D120" s="686">
        <v>6.49</v>
      </c>
      <c r="E120" s="692" t="s">
        <v>420</v>
      </c>
    </row>
    <row r="121" spans="1:5" x14ac:dyDescent="0.25">
      <c r="A121" s="684" t="s">
        <v>1190</v>
      </c>
      <c r="B121" s="694" t="s">
        <v>446</v>
      </c>
      <c r="C121" s="680">
        <v>19201900462</v>
      </c>
      <c r="D121" s="686">
        <v>6.48</v>
      </c>
      <c r="E121" s="692" t="s">
        <v>420</v>
      </c>
    </row>
    <row r="122" spans="1:5" x14ac:dyDescent="0.25">
      <c r="A122" s="684" t="s">
        <v>1190</v>
      </c>
      <c r="B122" s="694" t="s">
        <v>446</v>
      </c>
      <c r="C122" s="680">
        <v>19201900455</v>
      </c>
      <c r="D122" s="686">
        <v>6.41</v>
      </c>
      <c r="E122" s="692" t="s">
        <v>420</v>
      </c>
    </row>
    <row r="123" spans="1:5" x14ac:dyDescent="0.25">
      <c r="A123" s="684" t="s">
        <v>1190</v>
      </c>
      <c r="B123" s="694" t="s">
        <v>446</v>
      </c>
      <c r="C123" s="680">
        <v>19201900426</v>
      </c>
      <c r="D123" s="686">
        <v>6.12</v>
      </c>
      <c r="E123" s="692" t="s">
        <v>420</v>
      </c>
    </row>
    <row r="124" spans="1:5" x14ac:dyDescent="0.25">
      <c r="A124" s="684" t="s">
        <v>1190</v>
      </c>
      <c r="B124" s="694" t="s">
        <v>446</v>
      </c>
      <c r="C124" s="680">
        <v>19201900430</v>
      </c>
      <c r="D124" s="686">
        <v>6.05</v>
      </c>
      <c r="E124" s="692" t="s">
        <v>420</v>
      </c>
    </row>
    <row r="125" spans="1:5" x14ac:dyDescent="0.25">
      <c r="A125" s="730" t="s">
        <v>1220</v>
      </c>
      <c r="B125" s="694" t="s">
        <v>445</v>
      </c>
      <c r="C125" s="2">
        <v>19201901062</v>
      </c>
      <c r="D125" s="2">
        <v>7.52</v>
      </c>
      <c r="E125" s="687" t="s">
        <v>1191</v>
      </c>
    </row>
    <row r="126" spans="1:5" x14ac:dyDescent="0.25">
      <c r="A126" s="730" t="s">
        <v>1220</v>
      </c>
      <c r="B126" s="694" t="s">
        <v>445</v>
      </c>
      <c r="C126" s="2">
        <v>19201901054</v>
      </c>
      <c r="D126" s="2">
        <v>7.35</v>
      </c>
      <c r="E126" s="687" t="s">
        <v>1191</v>
      </c>
    </row>
    <row r="127" spans="1:5" x14ac:dyDescent="0.25">
      <c r="A127" s="730" t="s">
        <v>1220</v>
      </c>
      <c r="B127" s="694" t="s">
        <v>445</v>
      </c>
      <c r="C127" s="2">
        <v>19201901063</v>
      </c>
      <c r="D127" s="2">
        <v>7.19</v>
      </c>
      <c r="E127" s="687" t="s">
        <v>1191</v>
      </c>
    </row>
    <row r="128" spans="1:5" x14ac:dyDescent="0.25">
      <c r="A128" s="730" t="s">
        <v>1220</v>
      </c>
      <c r="B128" s="694" t="s">
        <v>445</v>
      </c>
      <c r="C128" s="2">
        <v>19201901038</v>
      </c>
      <c r="D128" s="2">
        <v>6.95</v>
      </c>
      <c r="E128" s="687" t="s">
        <v>1191</v>
      </c>
    </row>
    <row r="129" spans="1:5" x14ac:dyDescent="0.25">
      <c r="A129" s="730" t="s">
        <v>1220</v>
      </c>
      <c r="B129" s="694" t="s">
        <v>445</v>
      </c>
      <c r="C129" s="2">
        <v>19201901048</v>
      </c>
      <c r="D129" s="2">
        <v>6.89</v>
      </c>
      <c r="E129" s="687" t="s">
        <v>1191</v>
      </c>
    </row>
    <row r="130" spans="1:5" x14ac:dyDescent="0.25">
      <c r="A130" s="730" t="s">
        <v>1220</v>
      </c>
      <c r="B130" s="694" t="s">
        <v>445</v>
      </c>
      <c r="C130" s="2">
        <v>19201901065</v>
      </c>
      <c r="D130" s="2">
        <v>6.42</v>
      </c>
      <c r="E130" s="687" t="s">
        <v>1191</v>
      </c>
    </row>
    <row r="131" spans="1:5" x14ac:dyDescent="0.25">
      <c r="A131" s="730" t="s">
        <v>1220</v>
      </c>
      <c r="B131" s="694" t="s">
        <v>445</v>
      </c>
      <c r="C131" s="2">
        <v>19201901060</v>
      </c>
      <c r="D131" s="2">
        <v>6.41</v>
      </c>
      <c r="E131" s="687" t="s">
        <v>1191</v>
      </c>
    </row>
    <row r="132" spans="1:5" x14ac:dyDescent="0.25">
      <c r="A132" s="730" t="s">
        <v>1220</v>
      </c>
      <c r="B132" s="694" t="s">
        <v>445</v>
      </c>
      <c r="C132" s="2">
        <v>19201901064</v>
      </c>
      <c r="D132" s="2">
        <v>6.19</v>
      </c>
      <c r="E132" s="687" t="s">
        <v>1191</v>
      </c>
    </row>
    <row r="133" spans="1:5" x14ac:dyDescent="0.25">
      <c r="A133" s="730" t="s">
        <v>1220</v>
      </c>
      <c r="B133" s="694" t="s">
        <v>445</v>
      </c>
      <c r="C133" s="2">
        <v>19201901068</v>
      </c>
      <c r="D133" s="2">
        <v>6.15</v>
      </c>
      <c r="E133" s="687" t="s">
        <v>1191</v>
      </c>
    </row>
    <row r="134" spans="1:5" x14ac:dyDescent="0.25">
      <c r="A134" s="730" t="s">
        <v>1220</v>
      </c>
      <c r="B134" s="694" t="s">
        <v>445</v>
      </c>
      <c r="C134" s="2">
        <v>19201901057</v>
      </c>
      <c r="D134" s="2">
        <v>6.12</v>
      </c>
      <c r="E134" s="687" t="s">
        <v>1191</v>
      </c>
    </row>
    <row r="135" spans="1:5" x14ac:dyDescent="0.25">
      <c r="A135" s="730" t="s">
        <v>1220</v>
      </c>
      <c r="B135" s="694" t="s">
        <v>445</v>
      </c>
      <c r="C135" s="2">
        <v>19201901058</v>
      </c>
      <c r="D135" s="2">
        <v>6.1</v>
      </c>
      <c r="E135" s="692" t="s">
        <v>420</v>
      </c>
    </row>
    <row r="136" spans="1:5" x14ac:dyDescent="0.25">
      <c r="A136" s="730" t="s">
        <v>1220</v>
      </c>
      <c r="B136" s="694" t="s">
        <v>445</v>
      </c>
      <c r="C136" s="2">
        <v>19201901018</v>
      </c>
      <c r="D136" s="2">
        <v>6.09</v>
      </c>
      <c r="E136" s="692" t="s">
        <v>420</v>
      </c>
    </row>
    <row r="137" spans="1:5" x14ac:dyDescent="0.25">
      <c r="A137" s="730" t="s">
        <v>1220</v>
      </c>
      <c r="B137" s="694" t="s">
        <v>445</v>
      </c>
      <c r="C137" s="2">
        <v>19201901066</v>
      </c>
      <c r="D137" s="2">
        <v>5.94</v>
      </c>
      <c r="E137" s="687" t="s">
        <v>1191</v>
      </c>
    </row>
    <row r="138" spans="1:5" x14ac:dyDescent="0.25">
      <c r="A138" s="730" t="s">
        <v>1220</v>
      </c>
      <c r="B138" s="694" t="s">
        <v>445</v>
      </c>
      <c r="C138" s="2">
        <v>19201901055</v>
      </c>
      <c r="D138" s="2">
        <v>5.91</v>
      </c>
      <c r="E138" s="692" t="s">
        <v>420</v>
      </c>
    </row>
    <row r="139" spans="1:5" x14ac:dyDescent="0.25">
      <c r="A139" s="730" t="s">
        <v>1220</v>
      </c>
      <c r="B139" s="694" t="s">
        <v>445</v>
      </c>
      <c r="C139" s="2">
        <v>19201901022</v>
      </c>
      <c r="D139" s="2">
        <v>5.85</v>
      </c>
      <c r="E139" s="692" t="s">
        <v>420</v>
      </c>
    </row>
    <row r="140" spans="1:5" x14ac:dyDescent="0.25">
      <c r="A140" s="730" t="s">
        <v>1220</v>
      </c>
      <c r="B140" s="694" t="s">
        <v>445</v>
      </c>
      <c r="C140" s="2">
        <v>19201901040</v>
      </c>
      <c r="D140" s="2">
        <v>5.85</v>
      </c>
      <c r="E140" s="687" t="s">
        <v>1191</v>
      </c>
    </row>
    <row r="141" spans="1:5" x14ac:dyDescent="0.25">
      <c r="A141" s="730" t="s">
        <v>1220</v>
      </c>
      <c r="B141" s="694" t="s">
        <v>445</v>
      </c>
      <c r="C141" s="2">
        <v>19201901004</v>
      </c>
      <c r="D141" s="2">
        <v>5.78</v>
      </c>
      <c r="E141" s="692" t="s">
        <v>420</v>
      </c>
    </row>
    <row r="142" spans="1:5" x14ac:dyDescent="0.25">
      <c r="A142" s="730" t="s">
        <v>1220</v>
      </c>
      <c r="B142" s="694" t="s">
        <v>445</v>
      </c>
      <c r="C142" s="2">
        <v>19201900990</v>
      </c>
      <c r="D142" s="2">
        <v>5.64</v>
      </c>
      <c r="E142" s="692" t="s">
        <v>420</v>
      </c>
    </row>
    <row r="143" spans="1:5" x14ac:dyDescent="0.25">
      <c r="A143" s="769" t="s">
        <v>1220</v>
      </c>
      <c r="B143" s="770" t="s">
        <v>445</v>
      </c>
      <c r="C143" s="179">
        <v>19201901067</v>
      </c>
      <c r="D143" s="179">
        <v>5.97</v>
      </c>
      <c r="E143" s="691" t="s">
        <v>1191</v>
      </c>
    </row>
    <row r="144" spans="1:5" x14ac:dyDescent="0.25">
      <c r="A144" s="771" t="s">
        <v>1247</v>
      </c>
      <c r="B144" s="772" t="s">
        <v>446</v>
      </c>
      <c r="C144" s="754">
        <v>19202000424</v>
      </c>
      <c r="D144" s="761">
        <v>7.35</v>
      </c>
      <c r="E144" s="301" t="s">
        <v>419</v>
      </c>
    </row>
    <row r="145" spans="1:5" x14ac:dyDescent="0.25">
      <c r="A145" s="771" t="s">
        <v>1247</v>
      </c>
      <c r="B145" s="772" t="s">
        <v>446</v>
      </c>
      <c r="C145" s="754">
        <v>19202000420</v>
      </c>
      <c r="D145" s="761">
        <v>6.71</v>
      </c>
      <c r="E145" s="301" t="s">
        <v>419</v>
      </c>
    </row>
    <row r="146" spans="1:5" x14ac:dyDescent="0.25">
      <c r="A146" s="771" t="s">
        <v>1247</v>
      </c>
      <c r="B146" s="772" t="s">
        <v>446</v>
      </c>
      <c r="C146" s="754">
        <v>19202000375</v>
      </c>
      <c r="D146" s="761">
        <v>6.56</v>
      </c>
      <c r="E146" s="301" t="s">
        <v>419</v>
      </c>
    </row>
    <row r="147" spans="1:5" x14ac:dyDescent="0.25">
      <c r="A147" s="771" t="s">
        <v>1247</v>
      </c>
      <c r="B147" s="772" t="s">
        <v>446</v>
      </c>
      <c r="C147" s="754">
        <v>19202000364</v>
      </c>
      <c r="D147" s="761">
        <v>6.55</v>
      </c>
      <c r="E147" s="226" t="s">
        <v>420</v>
      </c>
    </row>
    <row r="148" spans="1:5" x14ac:dyDescent="0.25">
      <c r="A148" s="771" t="s">
        <v>1247</v>
      </c>
      <c r="B148" s="772" t="s">
        <v>446</v>
      </c>
      <c r="C148" s="754">
        <v>19202000359</v>
      </c>
      <c r="D148" s="761">
        <v>6.49</v>
      </c>
      <c r="E148" s="226" t="s">
        <v>420</v>
      </c>
    </row>
    <row r="149" spans="1:5" x14ac:dyDescent="0.25">
      <c r="A149" s="771" t="s">
        <v>1247</v>
      </c>
      <c r="B149" s="772" t="s">
        <v>446</v>
      </c>
      <c r="C149" s="754">
        <v>19202000427</v>
      </c>
      <c r="D149" s="761">
        <v>6.47</v>
      </c>
      <c r="E149" s="226" t="s">
        <v>420</v>
      </c>
    </row>
    <row r="150" spans="1:5" x14ac:dyDescent="0.25">
      <c r="A150" s="773" t="s">
        <v>1248</v>
      </c>
      <c r="B150" s="774" t="s">
        <v>446</v>
      </c>
      <c r="C150" s="762">
        <v>19202000383</v>
      </c>
      <c r="D150" s="763">
        <v>6.44</v>
      </c>
      <c r="E150" s="383" t="s">
        <v>420</v>
      </c>
    </row>
    <row r="151" spans="1:5" x14ac:dyDescent="0.25">
      <c r="A151" s="771" t="s">
        <v>1248</v>
      </c>
      <c r="B151" s="772" t="s">
        <v>445</v>
      </c>
      <c r="C151" s="754">
        <v>19202000416</v>
      </c>
      <c r="D151" s="761">
        <v>6.91</v>
      </c>
      <c r="E151" s="701" t="s">
        <v>419</v>
      </c>
    </row>
    <row r="152" spans="1:5" x14ac:dyDescent="0.25">
      <c r="A152" s="771" t="s">
        <v>1248</v>
      </c>
      <c r="B152" s="772" t="s">
        <v>445</v>
      </c>
      <c r="C152" s="754">
        <v>19202000428</v>
      </c>
      <c r="D152" s="761">
        <v>6.85</v>
      </c>
      <c r="E152" s="701" t="s">
        <v>419</v>
      </c>
    </row>
    <row r="153" spans="1:5" x14ac:dyDescent="0.25">
      <c r="A153" s="771" t="s">
        <v>1248</v>
      </c>
      <c r="B153" s="772" t="s">
        <v>445</v>
      </c>
      <c r="C153" s="754">
        <v>19202000401</v>
      </c>
      <c r="D153" s="761">
        <v>6.68</v>
      </c>
      <c r="E153" s="701" t="s">
        <v>419</v>
      </c>
    </row>
    <row r="154" spans="1:5" x14ac:dyDescent="0.25">
      <c r="A154" s="771" t="s">
        <v>1248</v>
      </c>
      <c r="B154" s="772" t="s">
        <v>445</v>
      </c>
      <c r="C154" s="754">
        <v>19202000417</v>
      </c>
      <c r="D154" s="761">
        <v>6.68</v>
      </c>
      <c r="E154" s="701" t="s">
        <v>419</v>
      </c>
    </row>
    <row r="155" spans="1:5" x14ac:dyDescent="0.25">
      <c r="A155" s="771" t="s">
        <v>1248</v>
      </c>
      <c r="B155" s="772" t="s">
        <v>445</v>
      </c>
      <c r="C155" s="754">
        <v>19202000356</v>
      </c>
      <c r="D155" s="761">
        <v>5.94</v>
      </c>
      <c r="E155" s="701" t="s">
        <v>419</v>
      </c>
    </row>
    <row r="156" spans="1:5" x14ac:dyDescent="0.25">
      <c r="A156" s="771" t="s">
        <v>1248</v>
      </c>
      <c r="B156" s="772" t="s">
        <v>445</v>
      </c>
      <c r="C156" s="754">
        <v>19202000355</v>
      </c>
      <c r="D156" s="761">
        <v>6.27</v>
      </c>
      <c r="E156" s="683" t="s">
        <v>420</v>
      </c>
    </row>
    <row r="157" spans="1:5" x14ac:dyDescent="0.25">
      <c r="A157" s="771" t="s">
        <v>1248</v>
      </c>
      <c r="B157" s="772" t="s">
        <v>445</v>
      </c>
      <c r="C157" s="754">
        <v>19202000411</v>
      </c>
      <c r="D157" s="761">
        <v>5.48</v>
      </c>
      <c r="E157" s="683" t="s">
        <v>420</v>
      </c>
    </row>
    <row r="158" spans="1:5" x14ac:dyDescent="0.25">
      <c r="A158" s="771" t="s">
        <v>1248</v>
      </c>
      <c r="B158" s="772" t="s">
        <v>445</v>
      </c>
      <c r="C158" s="754">
        <v>19202000380</v>
      </c>
      <c r="D158" s="761">
        <v>5.35</v>
      </c>
      <c r="E158" s="683" t="s">
        <v>420</v>
      </c>
    </row>
    <row r="159" spans="1:5" x14ac:dyDescent="0.25">
      <c r="A159" s="771" t="s">
        <v>1248</v>
      </c>
      <c r="B159" s="772" t="s">
        <v>445</v>
      </c>
      <c r="C159" s="754">
        <v>19202000418</v>
      </c>
      <c r="D159" s="761">
        <v>5.17</v>
      </c>
      <c r="E159" s="683" t="s">
        <v>420</v>
      </c>
    </row>
    <row r="160" spans="1:5" x14ac:dyDescent="0.25">
      <c r="A160" s="2" t="s">
        <v>1260</v>
      </c>
      <c r="B160" s="2" t="s">
        <v>1261</v>
      </c>
      <c r="C160" s="2">
        <v>19202000642</v>
      </c>
      <c r="D160" s="2">
        <v>7.31</v>
      </c>
      <c r="E160" s="701" t="s">
        <v>419</v>
      </c>
    </row>
    <row r="161" spans="1:5" x14ac:dyDescent="0.25">
      <c r="A161" s="2" t="s">
        <v>1260</v>
      </c>
      <c r="B161" s="2" t="s">
        <v>1261</v>
      </c>
      <c r="C161" s="2">
        <v>19202000652</v>
      </c>
      <c r="D161" s="2">
        <v>7.25</v>
      </c>
      <c r="E161" s="701" t="s">
        <v>419</v>
      </c>
    </row>
    <row r="162" spans="1:5" x14ac:dyDescent="0.25">
      <c r="A162" s="2" t="s">
        <v>1260</v>
      </c>
      <c r="B162" s="2" t="s">
        <v>1261</v>
      </c>
      <c r="C162" s="2">
        <v>19202000646</v>
      </c>
      <c r="D162" s="2">
        <v>6.78</v>
      </c>
      <c r="E162" s="701" t="s">
        <v>419</v>
      </c>
    </row>
    <row r="163" spans="1:5" x14ac:dyDescent="0.25">
      <c r="A163" s="2" t="s">
        <v>1260</v>
      </c>
      <c r="B163" s="2" t="s">
        <v>1261</v>
      </c>
      <c r="C163" s="2">
        <v>19202000639</v>
      </c>
      <c r="D163" s="2">
        <v>6.48</v>
      </c>
      <c r="E163" s="701" t="s">
        <v>419</v>
      </c>
    </row>
    <row r="164" spans="1:5" x14ac:dyDescent="0.25">
      <c r="A164" s="2" t="s">
        <v>1260</v>
      </c>
      <c r="B164" s="2" t="s">
        <v>1261</v>
      </c>
      <c r="C164" s="2">
        <v>19202000640</v>
      </c>
      <c r="D164" s="2">
        <v>6.39</v>
      </c>
      <c r="E164" s="701" t="s">
        <v>419</v>
      </c>
    </row>
    <row r="165" spans="1:5" x14ac:dyDescent="0.25">
      <c r="A165" s="2" t="s">
        <v>1260</v>
      </c>
      <c r="B165" s="2" t="s">
        <v>1261</v>
      </c>
      <c r="C165" s="2">
        <v>19202000643</v>
      </c>
      <c r="D165" s="2">
        <v>5.61</v>
      </c>
      <c r="E165" s="683" t="s">
        <v>420</v>
      </c>
    </row>
    <row r="166" spans="1:5" x14ac:dyDescent="0.25">
      <c r="A166" s="2" t="s">
        <v>1260</v>
      </c>
      <c r="B166" s="2" t="s">
        <v>1261</v>
      </c>
      <c r="C166" s="2">
        <v>19202000641</v>
      </c>
      <c r="D166" s="2">
        <v>4.95</v>
      </c>
      <c r="E166" s="683" t="s">
        <v>420</v>
      </c>
    </row>
    <row r="167" spans="1:5" x14ac:dyDescent="0.25">
      <c r="A167" s="2" t="s">
        <v>1260</v>
      </c>
      <c r="B167" s="789" t="s">
        <v>447</v>
      </c>
      <c r="C167" s="2">
        <v>19202000653</v>
      </c>
      <c r="D167" s="2">
        <v>7.7</v>
      </c>
      <c r="E167" s="701" t="s">
        <v>419</v>
      </c>
    </row>
    <row r="168" spans="1:5" x14ac:dyDescent="0.25">
      <c r="A168" s="2" t="s">
        <v>1260</v>
      </c>
      <c r="B168" s="810" t="s">
        <v>447</v>
      </c>
      <c r="C168" s="179">
        <v>19202000651</v>
      </c>
      <c r="D168" s="179">
        <v>6.45</v>
      </c>
      <c r="E168" s="683" t="s">
        <v>420</v>
      </c>
    </row>
    <row r="169" spans="1:5" x14ac:dyDescent="0.25">
      <c r="A169" s="26" t="s">
        <v>1274</v>
      </c>
      <c r="B169" s="655" t="s">
        <v>1261</v>
      </c>
      <c r="C169" s="811">
        <v>19202000943</v>
      </c>
      <c r="D169" s="761">
        <v>8.0500000000000007</v>
      </c>
      <c r="E169" s="701" t="s">
        <v>419</v>
      </c>
    </row>
    <row r="170" spans="1:5" x14ac:dyDescent="0.25">
      <c r="A170" s="26" t="s">
        <v>1274</v>
      </c>
      <c r="B170" s="655" t="s">
        <v>1261</v>
      </c>
      <c r="C170" s="811">
        <v>19202000936</v>
      </c>
      <c r="D170" s="761">
        <v>6.97</v>
      </c>
      <c r="E170" s="701" t="s">
        <v>419</v>
      </c>
    </row>
    <row r="171" spans="1:5" x14ac:dyDescent="0.25">
      <c r="A171" s="26" t="s">
        <v>1274</v>
      </c>
      <c r="B171" s="655" t="s">
        <v>1261</v>
      </c>
      <c r="C171" s="811">
        <v>19202000949</v>
      </c>
      <c r="D171" s="761">
        <v>6.75</v>
      </c>
      <c r="E171" s="701" t="s">
        <v>419</v>
      </c>
    </row>
    <row r="172" spans="1:5" x14ac:dyDescent="0.25">
      <c r="A172" s="26" t="s">
        <v>1274</v>
      </c>
      <c r="B172" s="655" t="s">
        <v>1261</v>
      </c>
      <c r="C172" s="811">
        <v>19202000934</v>
      </c>
      <c r="D172" s="761">
        <v>6.71</v>
      </c>
      <c r="E172" s="701" t="s">
        <v>419</v>
      </c>
    </row>
    <row r="173" spans="1:5" x14ac:dyDescent="0.25">
      <c r="A173" s="26" t="s">
        <v>1274</v>
      </c>
      <c r="B173" s="655" t="s">
        <v>1261</v>
      </c>
      <c r="C173" s="811">
        <v>19202000935</v>
      </c>
      <c r="D173" s="761">
        <v>6.63</v>
      </c>
      <c r="E173" s="701" t="s">
        <v>419</v>
      </c>
    </row>
    <row r="174" spans="1:5" x14ac:dyDescent="0.25">
      <c r="A174" s="26" t="s">
        <v>1274</v>
      </c>
      <c r="B174" s="655" t="s">
        <v>1261</v>
      </c>
      <c r="C174" s="811">
        <v>19202000941</v>
      </c>
      <c r="D174" s="761">
        <v>6.53</v>
      </c>
      <c r="E174" s="701" t="s">
        <v>419</v>
      </c>
    </row>
    <row r="175" spans="1:5" x14ac:dyDescent="0.25">
      <c r="A175" s="26" t="s">
        <v>1274</v>
      </c>
      <c r="B175" s="655" t="s">
        <v>1261</v>
      </c>
      <c r="C175" s="811">
        <v>19202000942</v>
      </c>
      <c r="D175" s="761">
        <v>6.27</v>
      </c>
      <c r="E175" s="701" t="s">
        <v>419</v>
      </c>
    </row>
    <row r="176" spans="1:5" x14ac:dyDescent="0.25">
      <c r="A176" s="26" t="s">
        <v>1274</v>
      </c>
      <c r="B176" s="655" t="s">
        <v>1261</v>
      </c>
      <c r="C176" s="811">
        <v>19202000948</v>
      </c>
      <c r="D176" s="761">
        <v>5.85</v>
      </c>
      <c r="E176" s="701" t="s">
        <v>419</v>
      </c>
    </row>
    <row r="177" spans="1:5" x14ac:dyDescent="0.25">
      <c r="A177" s="26" t="s">
        <v>1274</v>
      </c>
      <c r="B177" s="655" t="s">
        <v>1261</v>
      </c>
      <c r="C177" s="811">
        <v>19202000940</v>
      </c>
      <c r="D177" s="761">
        <v>5.41</v>
      </c>
      <c r="E177" s="226" t="s">
        <v>420</v>
      </c>
    </row>
    <row r="178" spans="1:5" x14ac:dyDescent="0.25">
      <c r="A178" s="26" t="s">
        <v>1274</v>
      </c>
      <c r="B178" s="655" t="s">
        <v>1261</v>
      </c>
      <c r="C178" s="811">
        <v>19202000937</v>
      </c>
      <c r="D178" s="761">
        <v>5.21</v>
      </c>
      <c r="E178" s="226" t="s">
        <v>420</v>
      </c>
    </row>
    <row r="179" spans="1:5" x14ac:dyDescent="0.25">
      <c r="A179" s="26" t="s">
        <v>1274</v>
      </c>
      <c r="B179" s="655" t="s">
        <v>1261</v>
      </c>
      <c r="C179" s="811">
        <v>19202000945</v>
      </c>
      <c r="D179" s="761">
        <v>5.09</v>
      </c>
      <c r="E179" s="226" t="s">
        <v>420</v>
      </c>
    </row>
    <row r="180" spans="1:5" x14ac:dyDescent="0.25">
      <c r="A180" s="26" t="s">
        <v>1274</v>
      </c>
      <c r="B180" s="655" t="s">
        <v>1261</v>
      </c>
      <c r="C180" s="811">
        <v>19202000939</v>
      </c>
      <c r="D180" s="761">
        <v>5.05</v>
      </c>
      <c r="E180" s="226" t="s">
        <v>420</v>
      </c>
    </row>
    <row r="181" spans="1:5" x14ac:dyDescent="0.25">
      <c r="A181" s="26" t="s">
        <v>1274</v>
      </c>
      <c r="B181" s="655" t="s">
        <v>1261</v>
      </c>
      <c r="C181" s="811">
        <v>19202000944</v>
      </c>
      <c r="D181" s="761">
        <v>4.93</v>
      </c>
      <c r="E181" s="226" t="s">
        <v>420</v>
      </c>
    </row>
    <row r="182" spans="1:5" x14ac:dyDescent="0.25">
      <c r="A182" s="26" t="s">
        <v>1274</v>
      </c>
      <c r="B182" s="655" t="s">
        <v>1261</v>
      </c>
      <c r="C182" s="811">
        <v>19202000938</v>
      </c>
      <c r="D182" s="761">
        <v>4.72</v>
      </c>
      <c r="E182" s="226" t="s">
        <v>420</v>
      </c>
    </row>
    <row r="183" spans="1:5" x14ac:dyDescent="0.25">
      <c r="A183" s="26" t="s">
        <v>1274</v>
      </c>
      <c r="B183" s="655" t="s">
        <v>1261</v>
      </c>
      <c r="C183" s="811">
        <v>19202000946</v>
      </c>
      <c r="D183" s="812"/>
      <c r="E183" s="226" t="s">
        <v>420</v>
      </c>
    </row>
    <row r="184" spans="1:5" x14ac:dyDescent="0.25">
      <c r="A184" s="26" t="s">
        <v>1274</v>
      </c>
      <c r="B184" s="655" t="s">
        <v>1261</v>
      </c>
      <c r="C184" s="811">
        <v>19202000947</v>
      </c>
      <c r="D184" s="812"/>
      <c r="E184" s="226" t="s">
        <v>420</v>
      </c>
    </row>
    <row r="185" spans="1:5" x14ac:dyDescent="0.25">
      <c r="A185" s="2" t="s">
        <v>1322</v>
      </c>
      <c r="B185" s="2" t="s">
        <v>1323</v>
      </c>
      <c r="C185" s="2">
        <v>19202100230</v>
      </c>
      <c r="D185" s="2">
        <v>6.91</v>
      </c>
      <c r="E185" s="701" t="s">
        <v>419</v>
      </c>
    </row>
    <row r="186" spans="1:5" x14ac:dyDescent="0.25">
      <c r="A186" s="2" t="s">
        <v>1322</v>
      </c>
      <c r="B186" s="2" t="s">
        <v>1324</v>
      </c>
      <c r="C186" s="2">
        <v>19202100190</v>
      </c>
      <c r="D186" s="816">
        <v>7.51</v>
      </c>
      <c r="E186" s="701" t="s">
        <v>419</v>
      </c>
    </row>
    <row r="187" spans="1:5" x14ac:dyDescent="0.25">
      <c r="A187" s="2" t="s">
        <v>1322</v>
      </c>
      <c r="B187" s="2" t="s">
        <v>1324</v>
      </c>
      <c r="C187" s="2">
        <v>19202100234</v>
      </c>
      <c r="D187" s="816">
        <v>6.79</v>
      </c>
      <c r="E187" s="701" t="s">
        <v>419</v>
      </c>
    </row>
    <row r="188" spans="1:5" x14ac:dyDescent="0.25">
      <c r="A188" s="2" t="s">
        <v>1322</v>
      </c>
      <c r="B188" s="2" t="s">
        <v>1324</v>
      </c>
      <c r="C188" s="2">
        <v>19202100168</v>
      </c>
      <c r="D188" s="816">
        <v>6.77</v>
      </c>
      <c r="E188" s="701" t="s">
        <v>419</v>
      </c>
    </row>
    <row r="189" spans="1:5" x14ac:dyDescent="0.25">
      <c r="A189" s="2" t="s">
        <v>1322</v>
      </c>
      <c r="B189" s="2" t="s">
        <v>1324</v>
      </c>
      <c r="C189" s="2">
        <v>19202100207</v>
      </c>
      <c r="D189" s="816">
        <v>6.06</v>
      </c>
      <c r="E189" s="701" t="s">
        <v>419</v>
      </c>
    </row>
    <row r="190" spans="1:5" x14ac:dyDescent="0.25">
      <c r="A190" s="2" t="s">
        <v>1322</v>
      </c>
      <c r="B190" s="2" t="s">
        <v>1324</v>
      </c>
      <c r="C190" s="2">
        <v>19202100231</v>
      </c>
      <c r="D190" s="816">
        <v>6</v>
      </c>
      <c r="E190" s="701" t="s">
        <v>419</v>
      </c>
    </row>
    <row r="191" spans="1:5" x14ac:dyDescent="0.25">
      <c r="A191" s="2" t="s">
        <v>1322</v>
      </c>
      <c r="B191" s="2" t="s">
        <v>1324</v>
      </c>
      <c r="C191" s="2">
        <v>19202100182</v>
      </c>
      <c r="D191" s="816">
        <v>5.88</v>
      </c>
      <c r="E191" s="701" t="s">
        <v>419</v>
      </c>
    </row>
    <row r="192" spans="1:5" x14ac:dyDescent="0.25">
      <c r="A192" s="2" t="s">
        <v>1322</v>
      </c>
      <c r="B192" s="2" t="s">
        <v>1324</v>
      </c>
      <c r="C192" s="2">
        <v>19202100177</v>
      </c>
      <c r="D192" s="816">
        <v>5.88</v>
      </c>
      <c r="E192" s="226" t="s">
        <v>420</v>
      </c>
    </row>
    <row r="193" spans="1:7" x14ac:dyDescent="0.25">
      <c r="A193" s="2" t="s">
        <v>1322</v>
      </c>
      <c r="B193" s="2" t="s">
        <v>1324</v>
      </c>
      <c r="C193" s="2">
        <v>19202100223</v>
      </c>
      <c r="D193" s="816">
        <v>5.78</v>
      </c>
      <c r="E193" s="226" t="s">
        <v>420</v>
      </c>
    </row>
    <row r="194" spans="1:7" s="647" customFormat="1" x14ac:dyDescent="0.25">
      <c r="A194" s="2" t="s">
        <v>1322</v>
      </c>
      <c r="B194" s="2" t="s">
        <v>1324</v>
      </c>
      <c r="C194" s="2">
        <v>19202100225</v>
      </c>
      <c r="D194" s="817" t="s">
        <v>1326</v>
      </c>
      <c r="E194" s="226"/>
    </row>
    <row r="195" spans="1:7" x14ac:dyDescent="0.25">
      <c r="A195" s="2" t="s">
        <v>1322</v>
      </c>
      <c r="B195" s="2" t="s">
        <v>1325</v>
      </c>
      <c r="C195" s="2">
        <v>19202100297</v>
      </c>
      <c r="D195" s="2">
        <v>6.89</v>
      </c>
      <c r="E195" s="701" t="s">
        <v>419</v>
      </c>
    </row>
    <row r="196" spans="1:7" x14ac:dyDescent="0.25">
      <c r="A196" s="2" t="s">
        <v>1322</v>
      </c>
      <c r="B196" s="2" t="s">
        <v>1325</v>
      </c>
      <c r="C196" s="2">
        <v>19202100227</v>
      </c>
      <c r="D196" s="2">
        <v>6.46</v>
      </c>
      <c r="E196" s="701" t="s">
        <v>419</v>
      </c>
    </row>
    <row r="197" spans="1:7" x14ac:dyDescent="0.25">
      <c r="A197" s="843" t="s">
        <v>1500</v>
      </c>
      <c r="B197" s="843" t="s">
        <v>1499</v>
      </c>
      <c r="C197" s="843">
        <v>19202101570</v>
      </c>
      <c r="D197" s="843">
        <v>6.08</v>
      </c>
      <c r="E197" s="701" t="s">
        <v>419</v>
      </c>
      <c r="F197" s="829"/>
      <c r="G197" s="829"/>
    </row>
    <row r="198" spans="1:7" x14ac:dyDescent="0.25">
      <c r="A198" s="843" t="s">
        <v>1500</v>
      </c>
      <c r="B198" s="843" t="s">
        <v>1499</v>
      </c>
      <c r="C198" s="843">
        <v>19202101563</v>
      </c>
      <c r="D198" s="843">
        <v>5.67</v>
      </c>
      <c r="E198" s="701" t="s">
        <v>419</v>
      </c>
      <c r="F198" s="829"/>
      <c r="G198" s="829"/>
    </row>
    <row r="199" spans="1:7" x14ac:dyDescent="0.25">
      <c r="A199" s="843" t="s">
        <v>1500</v>
      </c>
      <c r="B199" s="843" t="s">
        <v>1499</v>
      </c>
      <c r="C199" s="843">
        <v>19202101557</v>
      </c>
      <c r="D199" s="843">
        <v>5.63</v>
      </c>
      <c r="E199" s="845" t="s">
        <v>420</v>
      </c>
      <c r="F199" s="829"/>
      <c r="G199" s="829"/>
    </row>
    <row r="200" spans="1:7" x14ac:dyDescent="0.25">
      <c r="A200" s="843" t="s">
        <v>1500</v>
      </c>
      <c r="B200" s="843" t="s">
        <v>1499</v>
      </c>
      <c r="C200" s="843">
        <v>19202101559</v>
      </c>
      <c r="D200" s="843">
        <v>4.95</v>
      </c>
      <c r="E200" s="845" t="s">
        <v>420</v>
      </c>
      <c r="F200" s="829"/>
      <c r="G200" s="829"/>
    </row>
    <row r="201" spans="1:7" x14ac:dyDescent="0.25">
      <c r="A201" s="843" t="s">
        <v>1500</v>
      </c>
      <c r="B201" s="843" t="s">
        <v>1501</v>
      </c>
      <c r="C201" s="843">
        <v>19202101561</v>
      </c>
      <c r="D201" s="843">
        <v>7.97</v>
      </c>
      <c r="E201" s="701" t="s">
        <v>419</v>
      </c>
      <c r="F201" s="829"/>
      <c r="G201" s="829"/>
    </row>
    <row r="202" spans="1:7" x14ac:dyDescent="0.25">
      <c r="A202" s="843" t="s">
        <v>1500</v>
      </c>
      <c r="B202" s="843" t="s">
        <v>1501</v>
      </c>
      <c r="C202" s="843">
        <v>19202101556</v>
      </c>
      <c r="D202" s="843">
        <v>5.95</v>
      </c>
      <c r="E202" s="701" t="s">
        <v>419</v>
      </c>
      <c r="F202" s="829"/>
      <c r="G202" s="829"/>
    </row>
    <row r="203" spans="1:7" x14ac:dyDescent="0.25">
      <c r="A203" s="843" t="s">
        <v>1500</v>
      </c>
      <c r="B203" s="843" t="s">
        <v>1501</v>
      </c>
      <c r="C203" s="843">
        <v>19202101546</v>
      </c>
      <c r="D203" s="843">
        <v>5.0199999999999996</v>
      </c>
      <c r="E203" s="845" t="s">
        <v>420</v>
      </c>
      <c r="F203" s="829"/>
      <c r="G203" s="829"/>
    </row>
    <row r="204" spans="1:7" x14ac:dyDescent="0.25">
      <c r="A204" s="843" t="s">
        <v>1500</v>
      </c>
      <c r="B204" s="843" t="s">
        <v>1325</v>
      </c>
      <c r="C204" s="843">
        <v>19202101572</v>
      </c>
      <c r="D204" s="843">
        <v>5.71</v>
      </c>
      <c r="E204" s="845" t="s">
        <v>420</v>
      </c>
    </row>
    <row r="205" spans="1:7" x14ac:dyDescent="0.25">
      <c r="A205" s="843" t="s">
        <v>1500</v>
      </c>
      <c r="B205" s="843" t="s">
        <v>1325</v>
      </c>
      <c r="C205" s="843">
        <v>19202101571</v>
      </c>
      <c r="D205" s="843">
        <v>5.31</v>
      </c>
      <c r="E205" s="845" t="s">
        <v>420</v>
      </c>
    </row>
    <row r="206" spans="1:7" x14ac:dyDescent="0.25">
      <c r="A206" s="843" t="s">
        <v>1500</v>
      </c>
      <c r="B206" s="843" t="s">
        <v>1502</v>
      </c>
      <c r="C206" s="843">
        <v>19202101560</v>
      </c>
      <c r="D206" s="843">
        <v>4.68</v>
      </c>
      <c r="E206" s="845" t="s">
        <v>420</v>
      </c>
    </row>
    <row r="207" spans="1:7" x14ac:dyDescent="0.25">
      <c r="A207" s="843" t="s">
        <v>1558</v>
      </c>
      <c r="B207" s="843" t="s">
        <v>1502</v>
      </c>
      <c r="C207" s="843">
        <v>19202200375</v>
      </c>
      <c r="D207" s="843">
        <v>7.1769999999999996</v>
      </c>
      <c r="E207" s="701" t="s">
        <v>419</v>
      </c>
    </row>
    <row r="208" spans="1:7" x14ac:dyDescent="0.25">
      <c r="A208" s="843" t="s">
        <v>1558</v>
      </c>
      <c r="B208" s="843" t="s">
        <v>1502</v>
      </c>
      <c r="C208" s="843">
        <v>19202200378</v>
      </c>
      <c r="D208" s="843">
        <v>6.3869999999999996</v>
      </c>
      <c r="E208" s="701" t="s">
        <v>419</v>
      </c>
    </row>
    <row r="209" spans="1:5" x14ac:dyDescent="0.25">
      <c r="A209" s="843" t="s">
        <v>1558</v>
      </c>
      <c r="B209" s="843" t="s">
        <v>1502</v>
      </c>
      <c r="C209" s="843">
        <v>19202200366</v>
      </c>
      <c r="D209" s="843">
        <v>6.3529999999999998</v>
      </c>
      <c r="E209" s="701" t="s">
        <v>419</v>
      </c>
    </row>
    <row r="210" spans="1:5" x14ac:dyDescent="0.25">
      <c r="A210" s="843" t="s">
        <v>1558</v>
      </c>
      <c r="B210" s="843" t="s">
        <v>1499</v>
      </c>
      <c r="C210" s="843">
        <v>19202200360</v>
      </c>
      <c r="D210" s="843">
        <v>7.3259999999999996</v>
      </c>
      <c r="E210" s="701" t="s">
        <v>419</v>
      </c>
    </row>
    <row r="211" spans="1:5" x14ac:dyDescent="0.25">
      <c r="A211" s="843" t="s">
        <v>1558</v>
      </c>
      <c r="B211" s="843" t="s">
        <v>1499</v>
      </c>
      <c r="C211" s="843">
        <v>19202200371</v>
      </c>
      <c r="D211" s="843">
        <v>6.7690000000000001</v>
      </c>
      <c r="E211" s="701" t="s">
        <v>419</v>
      </c>
    </row>
    <row r="212" spans="1:5" x14ac:dyDescent="0.25">
      <c r="A212" s="843" t="s">
        <v>1558</v>
      </c>
      <c r="B212" s="843" t="s">
        <v>1499</v>
      </c>
      <c r="C212" s="843">
        <v>19202200356</v>
      </c>
      <c r="D212" s="843">
        <v>6.4859999999999998</v>
      </c>
      <c r="E212" s="701" t="s">
        <v>419</v>
      </c>
    </row>
    <row r="213" spans="1:5" x14ac:dyDescent="0.25">
      <c r="A213" s="843" t="s">
        <v>1558</v>
      </c>
      <c r="B213" s="843" t="s">
        <v>1499</v>
      </c>
      <c r="C213" s="843">
        <v>19202200308</v>
      </c>
      <c r="D213" s="843">
        <v>6.4530000000000003</v>
      </c>
      <c r="E213" s="701" t="s">
        <v>419</v>
      </c>
    </row>
    <row r="214" spans="1:5" x14ac:dyDescent="0.25">
      <c r="A214" s="843" t="s">
        <v>1558</v>
      </c>
      <c r="B214" s="843" t="s">
        <v>1499</v>
      </c>
      <c r="C214" s="843">
        <v>19202200376</v>
      </c>
      <c r="D214" s="843">
        <v>6.1849999999999996</v>
      </c>
      <c r="E214" s="701" t="s">
        <v>419</v>
      </c>
    </row>
    <row r="215" spans="1:5" x14ac:dyDescent="0.25">
      <c r="A215" s="843" t="s">
        <v>1558</v>
      </c>
      <c r="B215" s="843" t="s">
        <v>1499</v>
      </c>
      <c r="C215" s="843">
        <v>19202200374</v>
      </c>
      <c r="D215" s="843">
        <v>6.0460000000000003</v>
      </c>
      <c r="E215" s="845" t="s">
        <v>420</v>
      </c>
    </row>
    <row r="216" spans="1:5" x14ac:dyDescent="0.25">
      <c r="A216" s="843" t="s">
        <v>1558</v>
      </c>
      <c r="B216" s="843" t="s">
        <v>1499</v>
      </c>
      <c r="C216" s="843">
        <v>19202200355</v>
      </c>
      <c r="D216" s="843">
        <v>5.7949999999999999</v>
      </c>
      <c r="E216" s="701" t="s">
        <v>419</v>
      </c>
    </row>
    <row r="217" spans="1:5" x14ac:dyDescent="0.25">
      <c r="A217" s="843" t="s">
        <v>1558</v>
      </c>
      <c r="B217" s="843" t="s">
        <v>1559</v>
      </c>
      <c r="C217" s="843">
        <v>19202200367</v>
      </c>
      <c r="D217" s="843">
        <v>7.3689999999999998</v>
      </c>
      <c r="E217" s="701" t="s">
        <v>419</v>
      </c>
    </row>
    <row r="218" spans="1:5" x14ac:dyDescent="0.25">
      <c r="A218" s="843" t="s">
        <v>1558</v>
      </c>
      <c r="B218" s="843" t="s">
        <v>1559</v>
      </c>
      <c r="C218" s="843">
        <v>19202200365</v>
      </c>
      <c r="D218" s="843">
        <v>4.5369999999999999</v>
      </c>
      <c r="E218" s="845" t="s">
        <v>420</v>
      </c>
    </row>
    <row r="219" spans="1:5" x14ac:dyDescent="0.25">
      <c r="A219" s="843" t="s">
        <v>1558</v>
      </c>
      <c r="B219" s="843" t="s">
        <v>1325</v>
      </c>
      <c r="C219" s="843">
        <v>19202200370</v>
      </c>
      <c r="D219" s="843">
        <v>6.7270000000000003</v>
      </c>
      <c r="E219" s="701" t="s">
        <v>419</v>
      </c>
    </row>
    <row r="220" spans="1:5" x14ac:dyDescent="0.25">
      <c r="A220" s="843" t="s">
        <v>1558</v>
      </c>
      <c r="B220" s="843" t="s">
        <v>1325</v>
      </c>
      <c r="C220" s="843">
        <v>19202200372</v>
      </c>
      <c r="D220" s="843">
        <v>3.895</v>
      </c>
      <c r="E220" s="845" t="s">
        <v>420</v>
      </c>
    </row>
  </sheetData>
  <mergeCells count="1">
    <mergeCell ref="A1:E1"/>
  </mergeCells>
  <hyperlinks>
    <hyperlink ref="C98" r:id="rId1" location="/router?komponent=taotlus&amp;id=613873&amp;kuva=ava" display="https://pms.arib.pria.ee/pms-menetlus/ - /router?komponent=taotlus&amp;id=613873&amp;kuva=ava"/>
    <hyperlink ref="C99" r:id="rId2" location="/router?komponent=taotlus&amp;id=611025&amp;kuva=ava" display="https://pms.arib.pria.ee/pms-menetlus/ - /router?komponent=taotlus&amp;id=611025&amp;kuva=ava"/>
    <hyperlink ref="C100" r:id="rId3" location="/router?komponent=taotlus&amp;id=609761&amp;kuva=ava" display="https://pms.arib.pria.ee/pms-menetlus/ - /router?komponent=taotlus&amp;id=609761&amp;kuva=ava"/>
    <hyperlink ref="C101" r:id="rId4" location="/router?komponent=taotlus&amp;id=609122&amp;kuva=ava" display="https://pms.arib.pria.ee/pms-menetlus/ - /router?komponent=taotlus&amp;id=609122&amp;kuva=ava"/>
    <hyperlink ref="C102" r:id="rId5" location="/router?komponent=taotlus&amp;id=613123&amp;kuva=ava" display="https://pms.arib.pria.ee/pms-menetlus/ - /router?komponent=taotlus&amp;id=613123&amp;kuva=ava"/>
    <hyperlink ref="C103" r:id="rId6" location="/router?komponent=taotlus&amp;id=613918&amp;kuva=ava" display="https://pms.arib.pria.ee/pms-menetlus/ - /router?komponent=taotlus&amp;id=613918&amp;kuva=ava"/>
    <hyperlink ref="C104" r:id="rId7" location="/router?komponent=taotlus&amp;id=613124&amp;kuva=ava" display="https://pms.arib.pria.ee/pms-menetlus/ - /router?komponent=taotlus&amp;id=613124&amp;kuva=ava"/>
    <hyperlink ref="C105" r:id="rId8" location="/router?komponent=taotlus&amp;id=613919&amp;kuva=ava" display="https://pms.arib.pria.ee/pms-menetlus/ - /router?komponent=taotlus&amp;id=613919&amp;kuva=ava"/>
    <hyperlink ref="C106" r:id="rId9" location="/router?komponent=taotlus&amp;id=613378&amp;kuva=ava" display="https://pms.arib.pria.ee/pms-menetlus/ - /router?komponent=taotlus&amp;id=613378&amp;kuva=ava"/>
    <hyperlink ref="C107" r:id="rId10" location="/router?komponent=taotlus&amp;id=613890&amp;kuva=ava" display="https://pms.arib.pria.ee/pms-menetlus/ - /router?komponent=taotlus&amp;id=613890&amp;kuva=ava"/>
    <hyperlink ref="C108" r:id="rId11" location="/router?komponent=taotlus&amp;id=614110&amp;kuva=ava" display="https://pms.arib.pria.ee/pms-menetlus/ - /router?komponent=taotlus&amp;id=614110&amp;kuva=ava"/>
    <hyperlink ref="C109" r:id="rId12" location="/router?komponent=taotlus&amp;id=612177&amp;kuva=ava" display="https://pms.arib.pria.ee/pms-menetlus/ - /router?komponent=taotlus&amp;id=612177&amp;kuva=ava"/>
    <hyperlink ref="C110" r:id="rId13" location="/router?komponent=taotlus&amp;id=615599&amp;kuva=ava" display="https://pms.arib.pria.ee/pms-menetlus/ - /router?komponent=taotlus&amp;id=615599&amp;kuva=ava"/>
    <hyperlink ref="C111" r:id="rId14" location="/router?komponent=taotlus&amp;id=612597&amp;kuva=ava" display="https://pms.arib.pria.ee/pms-menetlus/ - /router?komponent=taotlus&amp;id=612597&amp;kuva=ava"/>
    <hyperlink ref="C112" r:id="rId15" location="/router?komponent=taotlus&amp;id=617557&amp;kuva=ava" display="https://pms.arib.pria.ee/pms-menetlus/ - /router?komponent=taotlus&amp;id=617557&amp;kuva=ava"/>
    <hyperlink ref="C113" r:id="rId16" location="/router?komponent=taotlus&amp;id=610872&amp;kuva=ava" display="https://pms.arib.pria.ee/pms-menetlus/ - /router?komponent=taotlus&amp;id=610872&amp;kuva=ava"/>
    <hyperlink ref="C114" r:id="rId17" location="/router?komponent=taotlus&amp;id=616767&amp;kuva=ava" display="https://pms.arib.pria.ee/pms-menetlus/ - /router?komponent=taotlus&amp;id=616767&amp;kuva=ava"/>
    <hyperlink ref="C115" r:id="rId18" location="/router?komponent=taotlus&amp;id=612334&amp;kuva=ava" display="https://pms.arib.pria.ee/pms-menetlus/ - /router?komponent=taotlus&amp;id=612334&amp;kuva=ava"/>
    <hyperlink ref="C116" r:id="rId19" location="/router?komponent=taotlus&amp;id=616560&amp;kuva=ava" display="https://pms.arib.pria.ee/pms-menetlus/ - /router?komponent=taotlus&amp;id=616560&amp;kuva=ava"/>
    <hyperlink ref="C117" r:id="rId20" location="/router?komponent=taotlus&amp;id=615730&amp;kuva=ava" display="https://pms.arib.pria.ee/pms-menetlus/ - /router?komponent=taotlus&amp;id=615730&amp;kuva=ava"/>
    <hyperlink ref="C118" r:id="rId21" location="/router?komponent=taotlus&amp;id=612657&amp;kuva=ava" display="https://pms.arib.pria.ee/pms-menetlus/ - /router?komponent=taotlus&amp;id=612657&amp;kuva=ava"/>
    <hyperlink ref="C119" r:id="rId22" location="/router?komponent=taotlus&amp;id=612181&amp;kuva=ava" display="https://pms.arib.pria.ee/pms-menetlus/ - /router?komponent=taotlus&amp;id=612181&amp;kuva=ava"/>
    <hyperlink ref="C120" r:id="rId23" location="/router?komponent=taotlus&amp;id=614026&amp;kuva=ava" display="https://pms.arib.pria.ee/pms-menetlus/ - /router?komponent=taotlus&amp;id=614026&amp;kuva=ava"/>
    <hyperlink ref="C121" r:id="rId24" location="/router?komponent=taotlus&amp;id=614019&amp;kuva=ava" display="https://pms.arib.pria.ee/pms-menetlus/ - /router?komponent=taotlus&amp;id=614019&amp;kuva=ava"/>
    <hyperlink ref="C122" r:id="rId25" location="/router?komponent=taotlus&amp;id=612384&amp;kuva=ava" display="https://pms.arib.pria.ee/pms-menetlus/ - /router?komponent=taotlus&amp;id=612384&amp;kuva=ava"/>
    <hyperlink ref="C123" r:id="rId26" location="/router?komponent=taotlus&amp;id=613872&amp;kuva=ava" display="https://pms.arib.pria.ee/pms-menetlus/ - /router?komponent=taotlus&amp;id=613872&amp;kuva=ava"/>
    <hyperlink ref="C124" r:id="rId27" location="/router?komponent=taotlus&amp;id=612581&amp;kuva=ava" display="https://pms.arib.pria.ee/pms-menetlus/ - /router?komponent=taotlus&amp;id=612581&amp;kuva=ava"/>
    <hyperlink ref="C144" r:id="rId28" location="/router?komponent=taotlus&amp;id=906774&amp;kuva=ava" display="https://pms.arib.pria.ee/pms-menetlus/ - /router?komponent=taotlus&amp;id=906774&amp;kuva=ava"/>
    <hyperlink ref="C145" r:id="rId29" location="/router?komponent=taotlus&amp;id=914541&amp;kuva=ava" display="https://pms.arib.pria.ee/pms-menetlus/ - /router?komponent=taotlus&amp;id=914541&amp;kuva=ava"/>
    <hyperlink ref="C146" r:id="rId30" location="/router?komponent=taotlus&amp;id=904487&amp;kuva=ava" display="https://pms.arib.pria.ee/pms-menetlus/ - /router?komponent=taotlus&amp;id=904487&amp;kuva=ava"/>
    <hyperlink ref="C147" r:id="rId31" location="/router?komponent=taotlus&amp;id=905091&amp;kuva=ava" display="https://pms.arib.pria.ee/pms-menetlus/ - /router?komponent=taotlus&amp;id=905091&amp;kuva=ava"/>
    <hyperlink ref="C148" r:id="rId32" location="/router?komponent=taotlus&amp;id=903414&amp;kuva=ava" display="https://pms.arib.pria.ee/pms-menetlus/ - /router?komponent=taotlus&amp;id=903414&amp;kuva=ava"/>
    <hyperlink ref="C149" r:id="rId33" location="/router?komponent=taotlus&amp;id=913386&amp;kuva=ava" display="https://pms.arib.pria.ee/pms-menetlus/ - /router?komponent=taotlus&amp;id=913386&amp;kuva=ava"/>
    <hyperlink ref="C150" r:id="rId34" location="/router?komponent=taotlus&amp;id=907143&amp;kuva=ava" display="https://pms.arib.pria.ee/pms-menetlus/ - /router?komponent=taotlus&amp;id=907143&amp;kuva=ava"/>
    <hyperlink ref="C151" r:id="rId35" location="/router?komponent=taotlus&amp;id=904587&amp;kuva=ava" display="https://pms.arib.pria.ee/pms-menetlus/ - /router?komponent=taotlus&amp;id=904587&amp;kuva=ava"/>
    <hyperlink ref="C153" r:id="rId36" location="/router?komponent=taotlus&amp;id=911398&amp;kuva=ava" display="https://pms.arib.pria.ee/pms-menetlus/ - /router?komponent=taotlus&amp;id=911398&amp;kuva=ava"/>
    <hyperlink ref="C154" r:id="rId37" location="/router?komponent=taotlus&amp;id=914227&amp;kuva=ava" display="https://pms.arib.pria.ee/pms-menetlus/ - /router?komponent=taotlus&amp;id=914227&amp;kuva=ava"/>
    <hyperlink ref="C156" r:id="rId38" location="/router?komponent=taotlus&amp;id=904071&amp;kuva=ava" display="https://pms.arib.pria.ee/pms-menetlus/ - /router?komponent=taotlus&amp;id=904071&amp;kuva=ava"/>
    <hyperlink ref="C155" r:id="rId39" location="/router?komponent=taotlus&amp;id=904165&amp;kuva=ava" display="https://pms.arib.pria.ee/pms-menetlus/ - /router?komponent=taotlus&amp;id=904165&amp;kuva=ava"/>
    <hyperlink ref="C157" r:id="rId40" location="/router?komponent=taotlus&amp;id=908621&amp;kuva=ava" display="https://pms.arib.pria.ee/pms-menetlus/ - /router?komponent=taotlus&amp;id=908621&amp;kuva=ava"/>
    <hyperlink ref="C158" r:id="rId41" location="/router?komponent=taotlus&amp;id=905323&amp;kuva=ava" display="https://pms.arib.pria.ee/pms-menetlus/ - /router?komponent=taotlus&amp;id=905323&amp;kuva=ava"/>
    <hyperlink ref="C159" r:id="rId42" location="/router?komponent=taotlus&amp;id=909912&amp;kuva=ava" display="https://pms.arib.pria.ee/pms-menetlus/ - /router?komponent=taotlus&amp;id=909912&amp;kuva=ava"/>
    <hyperlink ref="C169" r:id="rId43" location="/router?komponent=taotlus&amp;id=1281547&amp;kuva=ava" display="https://pms.arib.pria.ee/pms-menetlus/ - /router?komponent=taotlus&amp;id=1281547&amp;kuva=ava"/>
    <hyperlink ref="C170" r:id="rId44" location="/router?komponent=taotlus&amp;id=1280373&amp;kuva=ava" display="https://pms.arib.pria.ee/pms-menetlus/ - /router?komponent=taotlus&amp;id=1280373&amp;kuva=ava"/>
    <hyperlink ref="C171" r:id="rId45" location="/router?komponent=taotlus&amp;id=1280814&amp;kuva=ava" display="https://pms.arib.pria.ee/pms-menetlus/ - /router?komponent=taotlus&amp;id=1280814&amp;kuva=ava"/>
    <hyperlink ref="C172" r:id="rId46" location="/router?komponent=taotlus&amp;id=1278251&amp;kuva=ava" display="https://pms.arib.pria.ee/pms-menetlus/ - /router?komponent=taotlus&amp;id=1278251&amp;kuva=ava"/>
    <hyperlink ref="C173" r:id="rId47" location="/router?komponent=taotlus&amp;id=1279445&amp;kuva=ava" display="https://pms.arib.pria.ee/pms-menetlus/ - /router?komponent=taotlus&amp;id=1279445&amp;kuva=ava"/>
    <hyperlink ref="C174" r:id="rId48" location="/router?komponent=taotlus&amp;id=1280417&amp;kuva=ava" display="https://pms.arib.pria.ee/pms-menetlus/ - /router?komponent=taotlus&amp;id=1280417&amp;kuva=ava"/>
    <hyperlink ref="C175" r:id="rId49" location="/router?komponent=taotlus&amp;id=1280432&amp;kuva=ava" display="https://pms.arib.pria.ee/pms-menetlus/ - /router?komponent=taotlus&amp;id=1280432&amp;kuva=ava"/>
    <hyperlink ref="C176" r:id="rId50" location="/router?komponent=taotlus&amp;id=1281306&amp;kuva=ava" display="https://pms.arib.pria.ee/pms-menetlus/ - /router?komponent=taotlus&amp;id=1281306&amp;kuva=ava"/>
    <hyperlink ref="C177" r:id="rId51" location="/router?komponent=taotlus&amp;id=1281751&amp;kuva=ava" display="https://pms.arib.pria.ee/pms-menetlus/ - /router?komponent=taotlus&amp;id=1281751&amp;kuva=ava"/>
    <hyperlink ref="C178" r:id="rId52" location="/router?komponent=taotlus&amp;id=1280442&amp;kuva=ava" display="https://pms.arib.pria.ee/pms-menetlus/ - /router?komponent=taotlus&amp;id=1280442&amp;kuva=ava"/>
    <hyperlink ref="C179" r:id="rId53" location="/router?komponent=taotlus&amp;id=1282061&amp;kuva=ava" display="https://pms.arib.pria.ee/pms-menetlus/ - /router?komponent=taotlus&amp;id=1282061&amp;kuva=ava"/>
    <hyperlink ref="C180" r:id="rId54" location="/router?komponent=taotlus&amp;id=1280372&amp;kuva=ava" display="https://pms.arib.pria.ee/pms-menetlus/ - /router?komponent=taotlus&amp;id=1280372&amp;kuva=ava"/>
    <hyperlink ref="C181" r:id="rId55" location="/router?komponent=taotlus&amp;id=1281544&amp;kuva=ava" display="https://pms.arib.pria.ee/pms-menetlus/ - /router?komponent=taotlus&amp;id=1281544&amp;kuva=ava"/>
    <hyperlink ref="C182" r:id="rId56" location="/router?komponent=taotlus&amp;id=1280154&amp;kuva=ava" display="https://pms.arib.pria.ee/pms-menetlus/ - /router?komponent=taotlus&amp;id=1280154&amp;kuva=ava"/>
    <hyperlink ref="C183" r:id="rId57" location="/router?komponent=taotlus&amp;id=1282549&amp;kuva=ava" display="https://pms.arib.pria.ee/pms-menetlus/ - /router?komponent=taotlus&amp;id=1282549&amp;kuva=ava"/>
    <hyperlink ref="C184" r:id="rId58" location="/router?komponent=taotlus&amp;id=1282902&amp;kuva=ava" display="https://pms.arib.pria.ee/pms-menetlus/ - /router?komponent=taotlus&amp;id=1282902&amp;kuva=ava"/>
  </hyperlinks>
  <pageMargins left="0.7" right="0.7" top="0.75" bottom="0.75" header="0.3" footer="0.3"/>
  <pageSetup orientation="portrait" r:id="rId5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zoomScaleNormal="100" workbookViewId="0">
      <pane ySplit="2" topLeftCell="A321" activePane="bottomLeft" state="frozen"/>
      <selection pane="bottomLeft" activeCell="G331" sqref="G331"/>
    </sheetView>
  </sheetViews>
  <sheetFormatPr defaultRowHeight="15" x14ac:dyDescent="0.25"/>
  <cols>
    <col min="1" max="1" width="16.140625" bestFit="1" customWidth="1"/>
    <col min="2" max="2" width="58" style="20" customWidth="1"/>
    <col min="3" max="3" width="18.140625" customWidth="1"/>
    <col min="4" max="4" width="13.140625" bestFit="1" customWidth="1"/>
    <col min="5" max="5" width="13.85546875" customWidth="1"/>
    <col min="6" max="6" width="13.140625" customWidth="1"/>
  </cols>
  <sheetData>
    <row r="1" spans="1:5" ht="15.75" x14ac:dyDescent="0.25">
      <c r="A1" s="847" t="s">
        <v>20</v>
      </c>
      <c r="B1" s="848"/>
      <c r="C1" s="848"/>
      <c r="D1" s="848"/>
      <c r="E1" s="849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139" t="s">
        <v>168</v>
      </c>
      <c r="B3" s="104" t="s">
        <v>169</v>
      </c>
      <c r="C3" s="48" t="s">
        <v>186</v>
      </c>
      <c r="D3" s="38">
        <v>33.840000000000003</v>
      </c>
      <c r="E3" s="39" t="s">
        <v>419</v>
      </c>
    </row>
    <row r="4" spans="1:5" x14ac:dyDescent="0.25">
      <c r="A4" s="140" t="s">
        <v>168</v>
      </c>
      <c r="B4" s="103" t="s">
        <v>169</v>
      </c>
      <c r="C4" s="5" t="s">
        <v>180</v>
      </c>
      <c r="D4" s="9">
        <v>33.200000000000003</v>
      </c>
      <c r="E4" s="41" t="s">
        <v>419</v>
      </c>
    </row>
    <row r="5" spans="1:5" x14ac:dyDescent="0.25">
      <c r="A5" s="140" t="s">
        <v>168</v>
      </c>
      <c r="B5" s="103" t="s">
        <v>169</v>
      </c>
      <c r="C5" s="5" t="s">
        <v>185</v>
      </c>
      <c r="D5" s="9">
        <v>32</v>
      </c>
      <c r="E5" s="41" t="s">
        <v>419</v>
      </c>
    </row>
    <row r="6" spans="1:5" x14ac:dyDescent="0.25">
      <c r="A6" s="140" t="s">
        <v>168</v>
      </c>
      <c r="B6" s="103" t="s">
        <v>169</v>
      </c>
      <c r="C6" s="17" t="s">
        <v>182</v>
      </c>
      <c r="D6" s="9">
        <v>30.88</v>
      </c>
      <c r="E6" s="41" t="s">
        <v>419</v>
      </c>
    </row>
    <row r="7" spans="1:5" x14ac:dyDescent="0.25">
      <c r="A7" s="140" t="s">
        <v>168</v>
      </c>
      <c r="B7" s="103" t="s">
        <v>169</v>
      </c>
      <c r="C7" s="5" t="s">
        <v>175</v>
      </c>
      <c r="D7" s="9">
        <v>30.64</v>
      </c>
      <c r="E7" s="41" t="s">
        <v>419</v>
      </c>
    </row>
    <row r="8" spans="1:5" x14ac:dyDescent="0.25">
      <c r="A8" s="140" t="s">
        <v>168</v>
      </c>
      <c r="B8" s="103" t="s">
        <v>169</v>
      </c>
      <c r="C8" s="5" t="s">
        <v>173</v>
      </c>
      <c r="D8" s="9">
        <v>30.56</v>
      </c>
      <c r="E8" s="41" t="s">
        <v>419</v>
      </c>
    </row>
    <row r="9" spans="1:5" x14ac:dyDescent="0.25">
      <c r="A9" s="140" t="s">
        <v>168</v>
      </c>
      <c r="B9" s="103" t="s">
        <v>169</v>
      </c>
      <c r="C9" s="5" t="s">
        <v>171</v>
      </c>
      <c r="D9" s="9">
        <v>30</v>
      </c>
      <c r="E9" s="41" t="s">
        <v>419</v>
      </c>
    </row>
    <row r="10" spans="1:5" x14ac:dyDescent="0.25">
      <c r="A10" s="140" t="s">
        <v>168</v>
      </c>
      <c r="B10" s="103" t="s">
        <v>169</v>
      </c>
      <c r="C10" s="5" t="s">
        <v>181</v>
      </c>
      <c r="D10" s="9">
        <v>29.06</v>
      </c>
      <c r="E10" s="41" t="s">
        <v>419</v>
      </c>
    </row>
    <row r="11" spans="1:5" x14ac:dyDescent="0.25">
      <c r="A11" s="140" t="s">
        <v>168</v>
      </c>
      <c r="B11" s="103" t="s">
        <v>169</v>
      </c>
      <c r="C11" s="5" t="s">
        <v>176</v>
      </c>
      <c r="D11" s="9">
        <v>28.48</v>
      </c>
      <c r="E11" s="41" t="s">
        <v>419</v>
      </c>
    </row>
    <row r="12" spans="1:5" x14ac:dyDescent="0.25">
      <c r="A12" s="140" t="s">
        <v>168</v>
      </c>
      <c r="B12" s="103" t="s">
        <v>169</v>
      </c>
      <c r="C12" s="5" t="s">
        <v>174</v>
      </c>
      <c r="D12" s="9">
        <v>27.36</v>
      </c>
      <c r="E12" s="41" t="s">
        <v>419</v>
      </c>
    </row>
    <row r="13" spans="1:5" x14ac:dyDescent="0.25">
      <c r="A13" s="140" t="s">
        <v>168</v>
      </c>
      <c r="B13" s="103" t="s">
        <v>169</v>
      </c>
      <c r="C13" s="5" t="s">
        <v>184</v>
      </c>
      <c r="D13" s="9">
        <v>25.84</v>
      </c>
      <c r="E13" s="66" t="s">
        <v>420</v>
      </c>
    </row>
    <row r="14" spans="1:5" x14ac:dyDescent="0.25">
      <c r="A14" s="140" t="s">
        <v>168</v>
      </c>
      <c r="B14" s="103" t="s">
        <v>169</v>
      </c>
      <c r="C14" s="5" t="s">
        <v>183</v>
      </c>
      <c r="D14" s="9">
        <v>25.12</v>
      </c>
      <c r="E14" s="66" t="s">
        <v>420</v>
      </c>
    </row>
    <row r="15" spans="1:5" x14ac:dyDescent="0.25">
      <c r="A15" s="140" t="s">
        <v>168</v>
      </c>
      <c r="B15" s="103" t="s">
        <v>169</v>
      </c>
      <c r="C15" s="5" t="s">
        <v>178</v>
      </c>
      <c r="D15" s="9">
        <v>25.02</v>
      </c>
      <c r="E15" s="66" t="s">
        <v>420</v>
      </c>
    </row>
    <row r="16" spans="1:5" x14ac:dyDescent="0.25">
      <c r="A16" s="140" t="s">
        <v>168</v>
      </c>
      <c r="B16" s="103" t="s">
        <v>169</v>
      </c>
      <c r="C16" s="5" t="s">
        <v>172</v>
      </c>
      <c r="D16" s="9">
        <v>24.24</v>
      </c>
      <c r="E16" s="66" t="s">
        <v>420</v>
      </c>
    </row>
    <row r="17" spans="1:5" x14ac:dyDescent="0.25">
      <c r="A17" s="140" t="s">
        <v>168</v>
      </c>
      <c r="B17" s="103" t="s">
        <v>169</v>
      </c>
      <c r="C17" s="5" t="s">
        <v>179</v>
      </c>
      <c r="D17" s="9">
        <v>23.6</v>
      </c>
      <c r="E17" s="66" t="s">
        <v>420</v>
      </c>
    </row>
    <row r="18" spans="1:5" x14ac:dyDescent="0.25">
      <c r="A18" s="140" t="s">
        <v>168</v>
      </c>
      <c r="B18" s="103" t="s">
        <v>169</v>
      </c>
      <c r="C18" s="5" t="s">
        <v>177</v>
      </c>
      <c r="D18" s="9">
        <v>23.52</v>
      </c>
      <c r="E18" s="66" t="s">
        <v>420</v>
      </c>
    </row>
    <row r="19" spans="1:5" ht="15.75" thickBot="1" x14ac:dyDescent="0.3">
      <c r="A19" s="141" t="s">
        <v>168</v>
      </c>
      <c r="B19" s="105" t="s">
        <v>169</v>
      </c>
      <c r="C19" s="44" t="s">
        <v>170</v>
      </c>
      <c r="D19" s="45">
        <v>20</v>
      </c>
      <c r="E19" s="46" t="s">
        <v>420</v>
      </c>
    </row>
    <row r="20" spans="1:5" x14ac:dyDescent="0.25">
      <c r="A20" s="139" t="s">
        <v>168</v>
      </c>
      <c r="B20" s="104" t="s">
        <v>187</v>
      </c>
      <c r="C20" s="48" t="s">
        <v>191</v>
      </c>
      <c r="D20" s="38">
        <v>35.44</v>
      </c>
      <c r="E20" s="39" t="s">
        <v>419</v>
      </c>
    </row>
    <row r="21" spans="1:5" x14ac:dyDescent="0.25">
      <c r="A21" s="140" t="s">
        <v>168</v>
      </c>
      <c r="B21" s="103" t="s">
        <v>187</v>
      </c>
      <c r="C21" s="5" t="s">
        <v>189</v>
      </c>
      <c r="D21" s="9">
        <v>32.96</v>
      </c>
      <c r="E21" s="41" t="s">
        <v>419</v>
      </c>
    </row>
    <row r="22" spans="1:5" x14ac:dyDescent="0.25">
      <c r="A22" s="140" t="s">
        <v>168</v>
      </c>
      <c r="B22" s="103" t="s">
        <v>187</v>
      </c>
      <c r="C22" s="5" t="s">
        <v>202</v>
      </c>
      <c r="D22" s="9">
        <v>31.76</v>
      </c>
      <c r="E22" s="41" t="s">
        <v>419</v>
      </c>
    </row>
    <row r="23" spans="1:5" x14ac:dyDescent="0.25">
      <c r="A23" s="140" t="s">
        <v>168</v>
      </c>
      <c r="B23" s="103" t="s">
        <v>187</v>
      </c>
      <c r="C23" s="5" t="s">
        <v>200</v>
      </c>
      <c r="D23" s="9">
        <v>31.6</v>
      </c>
      <c r="E23" s="41" t="s">
        <v>419</v>
      </c>
    </row>
    <row r="24" spans="1:5" x14ac:dyDescent="0.25">
      <c r="A24" s="140" t="s">
        <v>168</v>
      </c>
      <c r="B24" s="103" t="s">
        <v>187</v>
      </c>
      <c r="C24" s="5" t="s">
        <v>211</v>
      </c>
      <c r="D24" s="9">
        <v>31.6</v>
      </c>
      <c r="E24" s="41" t="s">
        <v>419</v>
      </c>
    </row>
    <row r="25" spans="1:5" x14ac:dyDescent="0.25">
      <c r="A25" s="140" t="s">
        <v>168</v>
      </c>
      <c r="B25" s="103" t="s">
        <v>187</v>
      </c>
      <c r="C25" s="5" t="s">
        <v>207</v>
      </c>
      <c r="D25" s="9">
        <v>30.88</v>
      </c>
      <c r="E25" s="41" t="s">
        <v>419</v>
      </c>
    </row>
    <row r="26" spans="1:5" x14ac:dyDescent="0.25">
      <c r="A26" s="140" t="s">
        <v>168</v>
      </c>
      <c r="B26" s="103" t="s">
        <v>187</v>
      </c>
      <c r="C26" s="5" t="s">
        <v>197</v>
      </c>
      <c r="D26" s="9">
        <v>30.44</v>
      </c>
      <c r="E26" s="66" t="s">
        <v>420</v>
      </c>
    </row>
    <row r="27" spans="1:5" x14ac:dyDescent="0.25">
      <c r="A27" s="140" t="s">
        <v>168</v>
      </c>
      <c r="B27" s="103" t="s">
        <v>187</v>
      </c>
      <c r="C27" s="5" t="s">
        <v>196</v>
      </c>
      <c r="D27" s="9">
        <v>30.08</v>
      </c>
      <c r="E27" s="66" t="s">
        <v>420</v>
      </c>
    </row>
    <row r="28" spans="1:5" x14ac:dyDescent="0.25">
      <c r="A28" s="140" t="s">
        <v>168</v>
      </c>
      <c r="B28" s="103" t="s">
        <v>187</v>
      </c>
      <c r="C28" s="5" t="s">
        <v>213</v>
      </c>
      <c r="D28" s="9">
        <v>29.92</v>
      </c>
      <c r="E28" s="66" t="s">
        <v>420</v>
      </c>
    </row>
    <row r="29" spans="1:5" x14ac:dyDescent="0.25">
      <c r="A29" s="140" t="s">
        <v>168</v>
      </c>
      <c r="B29" s="103" t="s">
        <v>187</v>
      </c>
      <c r="C29" s="5" t="s">
        <v>212</v>
      </c>
      <c r="D29" s="9">
        <v>29.6</v>
      </c>
      <c r="E29" s="66" t="s">
        <v>420</v>
      </c>
    </row>
    <row r="30" spans="1:5" x14ac:dyDescent="0.25">
      <c r="A30" s="140" t="s">
        <v>168</v>
      </c>
      <c r="B30" s="103" t="s">
        <v>187</v>
      </c>
      <c r="C30" s="5" t="s">
        <v>201</v>
      </c>
      <c r="D30" s="9">
        <v>29.44</v>
      </c>
      <c r="E30" s="66" t="s">
        <v>420</v>
      </c>
    </row>
    <row r="31" spans="1:5" x14ac:dyDescent="0.25">
      <c r="A31" s="140" t="s">
        <v>168</v>
      </c>
      <c r="B31" s="103" t="s">
        <v>187</v>
      </c>
      <c r="C31" s="5" t="s">
        <v>208</v>
      </c>
      <c r="D31" s="9">
        <v>28.08</v>
      </c>
      <c r="E31" s="66" t="s">
        <v>420</v>
      </c>
    </row>
    <row r="32" spans="1:5" x14ac:dyDescent="0.25">
      <c r="A32" s="140" t="s">
        <v>168</v>
      </c>
      <c r="B32" s="103" t="s">
        <v>187</v>
      </c>
      <c r="C32" s="5" t="s">
        <v>203</v>
      </c>
      <c r="D32" s="9">
        <v>27.84</v>
      </c>
      <c r="E32" s="66" t="s">
        <v>420</v>
      </c>
    </row>
    <row r="33" spans="1:5" x14ac:dyDescent="0.25">
      <c r="A33" s="140" t="s">
        <v>168</v>
      </c>
      <c r="B33" s="103" t="s">
        <v>187</v>
      </c>
      <c r="C33" s="5" t="s">
        <v>194</v>
      </c>
      <c r="D33" s="9">
        <v>27.36</v>
      </c>
      <c r="E33" s="66" t="s">
        <v>420</v>
      </c>
    </row>
    <row r="34" spans="1:5" x14ac:dyDescent="0.25">
      <c r="A34" s="140" t="s">
        <v>168</v>
      </c>
      <c r="B34" s="103" t="s">
        <v>187</v>
      </c>
      <c r="C34" s="5" t="s">
        <v>195</v>
      </c>
      <c r="D34" s="9">
        <v>27.28</v>
      </c>
      <c r="E34" s="66" t="s">
        <v>420</v>
      </c>
    </row>
    <row r="35" spans="1:5" x14ac:dyDescent="0.25">
      <c r="A35" s="140" t="s">
        <v>168</v>
      </c>
      <c r="B35" s="103" t="s">
        <v>187</v>
      </c>
      <c r="C35" s="5" t="s">
        <v>206</v>
      </c>
      <c r="D35" s="9">
        <v>27.2</v>
      </c>
      <c r="E35" s="66" t="s">
        <v>420</v>
      </c>
    </row>
    <row r="36" spans="1:5" x14ac:dyDescent="0.25">
      <c r="A36" s="140" t="s">
        <v>168</v>
      </c>
      <c r="B36" s="103" t="s">
        <v>187</v>
      </c>
      <c r="C36" s="5" t="s">
        <v>198</v>
      </c>
      <c r="D36" s="9">
        <v>26.56</v>
      </c>
      <c r="E36" s="66" t="s">
        <v>420</v>
      </c>
    </row>
    <row r="37" spans="1:5" x14ac:dyDescent="0.25">
      <c r="A37" s="140" t="s">
        <v>168</v>
      </c>
      <c r="B37" s="103" t="s">
        <v>187</v>
      </c>
      <c r="C37" s="5" t="s">
        <v>199</v>
      </c>
      <c r="D37" s="9">
        <v>25.68</v>
      </c>
      <c r="E37" s="66" t="s">
        <v>420</v>
      </c>
    </row>
    <row r="38" spans="1:5" x14ac:dyDescent="0.25">
      <c r="A38" s="140" t="s">
        <v>168</v>
      </c>
      <c r="B38" s="103" t="s">
        <v>187</v>
      </c>
      <c r="C38" s="5" t="s">
        <v>190</v>
      </c>
      <c r="D38" s="9">
        <v>25.28</v>
      </c>
      <c r="E38" s="66" t="s">
        <v>420</v>
      </c>
    </row>
    <row r="39" spans="1:5" x14ac:dyDescent="0.25">
      <c r="A39" s="140" t="s">
        <v>168</v>
      </c>
      <c r="B39" s="103" t="s">
        <v>187</v>
      </c>
      <c r="C39" s="5" t="s">
        <v>205</v>
      </c>
      <c r="D39" s="9">
        <v>25.28</v>
      </c>
      <c r="E39" s="66" t="s">
        <v>420</v>
      </c>
    </row>
    <row r="40" spans="1:5" x14ac:dyDescent="0.25">
      <c r="A40" s="140" t="s">
        <v>168</v>
      </c>
      <c r="B40" s="103" t="s">
        <v>187</v>
      </c>
      <c r="C40" s="5" t="s">
        <v>192</v>
      </c>
      <c r="D40" s="9">
        <v>25.12</v>
      </c>
      <c r="E40" s="66" t="s">
        <v>420</v>
      </c>
    </row>
    <row r="41" spans="1:5" x14ac:dyDescent="0.25">
      <c r="A41" s="140" t="s">
        <v>168</v>
      </c>
      <c r="B41" s="103" t="s">
        <v>187</v>
      </c>
      <c r="C41" s="5" t="s">
        <v>193</v>
      </c>
      <c r="D41" s="9">
        <v>24.4</v>
      </c>
      <c r="E41" s="66" t="s">
        <v>420</v>
      </c>
    </row>
    <row r="42" spans="1:5" x14ac:dyDescent="0.25">
      <c r="A42" s="140" t="s">
        <v>168</v>
      </c>
      <c r="B42" s="103" t="s">
        <v>187</v>
      </c>
      <c r="C42" s="5" t="s">
        <v>210</v>
      </c>
      <c r="D42" s="9">
        <v>24.18</v>
      </c>
      <c r="E42" s="66" t="s">
        <v>420</v>
      </c>
    </row>
    <row r="43" spans="1:5" x14ac:dyDescent="0.25">
      <c r="A43" s="140" t="s">
        <v>168</v>
      </c>
      <c r="B43" s="103" t="s">
        <v>187</v>
      </c>
      <c r="C43" s="5" t="s">
        <v>204</v>
      </c>
      <c r="D43" s="9">
        <v>24.08</v>
      </c>
      <c r="E43" s="66" t="s">
        <v>420</v>
      </c>
    </row>
    <row r="44" spans="1:5" x14ac:dyDescent="0.25">
      <c r="A44" s="140" t="s">
        <v>168</v>
      </c>
      <c r="B44" s="103" t="s">
        <v>187</v>
      </c>
      <c r="C44" s="5" t="s">
        <v>209</v>
      </c>
      <c r="D44" s="9">
        <v>21.36</v>
      </c>
      <c r="E44" s="66" t="s">
        <v>420</v>
      </c>
    </row>
    <row r="45" spans="1:5" ht="15.75" thickBot="1" x14ac:dyDescent="0.3">
      <c r="A45" s="141" t="s">
        <v>168</v>
      </c>
      <c r="B45" s="105" t="s">
        <v>187</v>
      </c>
      <c r="C45" s="44" t="s">
        <v>188</v>
      </c>
      <c r="D45" s="45">
        <v>20.96</v>
      </c>
      <c r="E45" s="46" t="s">
        <v>420</v>
      </c>
    </row>
    <row r="46" spans="1:5" x14ac:dyDescent="0.25">
      <c r="A46" s="139" t="s">
        <v>168</v>
      </c>
      <c r="B46" s="99" t="s">
        <v>214</v>
      </c>
      <c r="C46" s="48" t="s">
        <v>216</v>
      </c>
      <c r="D46" s="38">
        <v>33.36</v>
      </c>
      <c r="E46" s="39" t="s">
        <v>419</v>
      </c>
    </row>
    <row r="47" spans="1:5" x14ac:dyDescent="0.25">
      <c r="A47" s="140" t="s">
        <v>168</v>
      </c>
      <c r="B47" s="29" t="s">
        <v>214</v>
      </c>
      <c r="C47" s="5" t="s">
        <v>218</v>
      </c>
      <c r="D47" s="9">
        <v>33.28</v>
      </c>
      <c r="E47" s="41" t="s">
        <v>419</v>
      </c>
    </row>
    <row r="48" spans="1:5" x14ac:dyDescent="0.25">
      <c r="A48" s="140" t="s">
        <v>168</v>
      </c>
      <c r="B48" s="29" t="s">
        <v>214</v>
      </c>
      <c r="C48" s="5" t="s">
        <v>224</v>
      </c>
      <c r="D48" s="9">
        <v>31.28</v>
      </c>
      <c r="E48" s="41" t="s">
        <v>419</v>
      </c>
    </row>
    <row r="49" spans="1:5" x14ac:dyDescent="0.25">
      <c r="A49" s="140" t="s">
        <v>168</v>
      </c>
      <c r="B49" s="29" t="s">
        <v>214</v>
      </c>
      <c r="C49" s="5" t="s">
        <v>221</v>
      </c>
      <c r="D49" s="9">
        <v>29.92</v>
      </c>
      <c r="E49" s="41" t="s">
        <v>419</v>
      </c>
    </row>
    <row r="50" spans="1:5" x14ac:dyDescent="0.25">
      <c r="A50" s="140" t="s">
        <v>168</v>
      </c>
      <c r="B50" s="29" t="s">
        <v>214</v>
      </c>
      <c r="C50" s="5" t="s">
        <v>223</v>
      </c>
      <c r="D50" s="9">
        <v>29.84</v>
      </c>
      <c r="E50" s="41" t="s">
        <v>419</v>
      </c>
    </row>
    <row r="51" spans="1:5" x14ac:dyDescent="0.25">
      <c r="A51" s="140" t="s">
        <v>168</v>
      </c>
      <c r="B51" s="29" t="s">
        <v>214</v>
      </c>
      <c r="C51" s="5" t="s">
        <v>220</v>
      </c>
      <c r="D51" s="9">
        <v>29.52</v>
      </c>
      <c r="E51" s="41" t="s">
        <v>419</v>
      </c>
    </row>
    <row r="52" spans="1:5" x14ac:dyDescent="0.25">
      <c r="A52" s="140" t="s">
        <v>168</v>
      </c>
      <c r="B52" s="29" t="s">
        <v>214</v>
      </c>
      <c r="C52" s="5" t="s">
        <v>217</v>
      </c>
      <c r="D52" s="9">
        <v>29.12</v>
      </c>
      <c r="E52" s="41" t="s">
        <v>419</v>
      </c>
    </row>
    <row r="53" spans="1:5" x14ac:dyDescent="0.25">
      <c r="A53" s="140" t="s">
        <v>168</v>
      </c>
      <c r="B53" s="29" t="s">
        <v>214</v>
      </c>
      <c r="C53" s="5" t="s">
        <v>225</v>
      </c>
      <c r="D53" s="9">
        <v>29.04</v>
      </c>
      <c r="E53" s="66" t="s">
        <v>420</v>
      </c>
    </row>
    <row r="54" spans="1:5" x14ac:dyDescent="0.25">
      <c r="A54" s="140" t="s">
        <v>168</v>
      </c>
      <c r="B54" s="29" t="s">
        <v>214</v>
      </c>
      <c r="C54" s="5" t="s">
        <v>215</v>
      </c>
      <c r="D54" s="9">
        <v>26.96</v>
      </c>
      <c r="E54" s="66" t="s">
        <v>420</v>
      </c>
    </row>
    <row r="55" spans="1:5" x14ac:dyDescent="0.25">
      <c r="A55" s="140" t="s">
        <v>168</v>
      </c>
      <c r="B55" s="29" t="s">
        <v>214</v>
      </c>
      <c r="C55" s="5" t="s">
        <v>222</v>
      </c>
      <c r="D55" s="9">
        <v>26.8</v>
      </c>
      <c r="E55" s="66" t="s">
        <v>420</v>
      </c>
    </row>
    <row r="56" spans="1:5" ht="15.75" thickBot="1" x14ac:dyDescent="0.3">
      <c r="A56" s="141" t="s">
        <v>168</v>
      </c>
      <c r="B56" s="100" t="s">
        <v>214</v>
      </c>
      <c r="C56" s="44" t="s">
        <v>219</v>
      </c>
      <c r="D56" s="45">
        <v>25.76</v>
      </c>
      <c r="E56" s="46" t="s">
        <v>420</v>
      </c>
    </row>
    <row r="57" spans="1:5" x14ac:dyDescent="0.25">
      <c r="A57" s="139" t="s">
        <v>168</v>
      </c>
      <c r="B57" s="104" t="s">
        <v>226</v>
      </c>
      <c r="C57" s="48" t="s">
        <v>227</v>
      </c>
      <c r="D57" s="38">
        <v>32</v>
      </c>
      <c r="E57" s="39" t="s">
        <v>419</v>
      </c>
    </row>
    <row r="58" spans="1:5" x14ac:dyDescent="0.25">
      <c r="A58" s="140" t="s">
        <v>168</v>
      </c>
      <c r="B58" s="29" t="s">
        <v>226</v>
      </c>
      <c r="C58" s="5" t="s">
        <v>239</v>
      </c>
      <c r="D58" s="9">
        <v>32</v>
      </c>
      <c r="E58" s="41" t="s">
        <v>419</v>
      </c>
    </row>
    <row r="59" spans="1:5" x14ac:dyDescent="0.25">
      <c r="A59" s="140" t="s">
        <v>168</v>
      </c>
      <c r="B59" s="29" t="s">
        <v>226</v>
      </c>
      <c r="C59" s="5" t="s">
        <v>241</v>
      </c>
      <c r="D59" s="9">
        <v>31.44</v>
      </c>
      <c r="E59" s="41" t="s">
        <v>419</v>
      </c>
    </row>
    <row r="60" spans="1:5" x14ac:dyDescent="0.25">
      <c r="A60" s="140" t="s">
        <v>168</v>
      </c>
      <c r="B60" s="29" t="s">
        <v>226</v>
      </c>
      <c r="C60" s="5" t="s">
        <v>231</v>
      </c>
      <c r="D60" s="9">
        <v>31.2</v>
      </c>
      <c r="E60" s="66" t="s">
        <v>420</v>
      </c>
    </row>
    <row r="61" spans="1:5" x14ac:dyDescent="0.25">
      <c r="A61" s="140" t="s">
        <v>168</v>
      </c>
      <c r="B61" s="29" t="s">
        <v>226</v>
      </c>
      <c r="C61" s="5" t="s">
        <v>242</v>
      </c>
      <c r="D61" s="9">
        <v>31.2</v>
      </c>
      <c r="E61" s="41" t="s">
        <v>419</v>
      </c>
    </row>
    <row r="62" spans="1:5" x14ac:dyDescent="0.25">
      <c r="A62" s="140" t="s">
        <v>168</v>
      </c>
      <c r="B62" s="103" t="s">
        <v>226</v>
      </c>
      <c r="C62" s="5" t="s">
        <v>230</v>
      </c>
      <c r="D62" s="9">
        <v>30.56</v>
      </c>
      <c r="E62" s="66" t="s">
        <v>420</v>
      </c>
    </row>
    <row r="63" spans="1:5" x14ac:dyDescent="0.25">
      <c r="A63" s="140" t="s">
        <v>168</v>
      </c>
      <c r="B63" s="29" t="s">
        <v>226</v>
      </c>
      <c r="C63" s="5" t="s">
        <v>237</v>
      </c>
      <c r="D63" s="9">
        <v>30.56</v>
      </c>
      <c r="E63" s="66" t="s">
        <v>420</v>
      </c>
    </row>
    <row r="64" spans="1:5" x14ac:dyDescent="0.25">
      <c r="A64" s="140" t="s">
        <v>168</v>
      </c>
      <c r="B64" s="29" t="s">
        <v>226</v>
      </c>
      <c r="C64" s="5" t="s">
        <v>235</v>
      </c>
      <c r="D64" s="9">
        <v>30.16</v>
      </c>
      <c r="E64" s="66" t="s">
        <v>420</v>
      </c>
    </row>
    <row r="65" spans="1:6" x14ac:dyDescent="0.25">
      <c r="A65" s="140" t="s">
        <v>168</v>
      </c>
      <c r="B65" s="29" t="s">
        <v>226</v>
      </c>
      <c r="C65" s="5" t="s">
        <v>238</v>
      </c>
      <c r="D65" s="9">
        <v>29.92</v>
      </c>
      <c r="E65" s="66" t="s">
        <v>420</v>
      </c>
    </row>
    <row r="66" spans="1:6" x14ac:dyDescent="0.25">
      <c r="A66" s="140" t="s">
        <v>168</v>
      </c>
      <c r="B66" s="29" t="s">
        <v>226</v>
      </c>
      <c r="C66" s="5" t="s">
        <v>234</v>
      </c>
      <c r="D66" s="9">
        <v>29.6</v>
      </c>
      <c r="E66" s="66" t="s">
        <v>420</v>
      </c>
    </row>
    <row r="67" spans="1:6" x14ac:dyDescent="0.25">
      <c r="A67" s="140" t="s">
        <v>168</v>
      </c>
      <c r="B67" s="103" t="s">
        <v>226</v>
      </c>
      <c r="C67" s="5" t="s">
        <v>228</v>
      </c>
      <c r="D67" s="9">
        <v>29.36</v>
      </c>
      <c r="E67" s="66" t="s">
        <v>420</v>
      </c>
    </row>
    <row r="68" spans="1:6" x14ac:dyDescent="0.25">
      <c r="A68" s="140" t="s">
        <v>168</v>
      </c>
      <c r="B68" s="29" t="s">
        <v>226</v>
      </c>
      <c r="C68" s="5" t="s">
        <v>240</v>
      </c>
      <c r="D68" s="9">
        <v>29.28</v>
      </c>
      <c r="E68" s="66" t="s">
        <v>420</v>
      </c>
    </row>
    <row r="69" spans="1:6" x14ac:dyDescent="0.25">
      <c r="A69" s="140" t="s">
        <v>168</v>
      </c>
      <c r="B69" s="29" t="s">
        <v>226</v>
      </c>
      <c r="C69" s="5" t="s">
        <v>232</v>
      </c>
      <c r="D69" s="9">
        <v>28.4</v>
      </c>
      <c r="E69" s="66" t="s">
        <v>420</v>
      </c>
    </row>
    <row r="70" spans="1:6" x14ac:dyDescent="0.25">
      <c r="A70" s="140" t="s">
        <v>168</v>
      </c>
      <c r="B70" s="29" t="s">
        <v>226</v>
      </c>
      <c r="C70" s="5" t="s">
        <v>243</v>
      </c>
      <c r="D70" s="9">
        <v>28.4</v>
      </c>
      <c r="E70" s="66" t="s">
        <v>420</v>
      </c>
    </row>
    <row r="71" spans="1:6" x14ac:dyDescent="0.25">
      <c r="A71" s="140" t="s">
        <v>168</v>
      </c>
      <c r="B71" s="29" t="s">
        <v>226</v>
      </c>
      <c r="C71" s="5" t="s">
        <v>233</v>
      </c>
      <c r="D71" s="9">
        <v>28.32</v>
      </c>
      <c r="E71" s="66" t="s">
        <v>420</v>
      </c>
    </row>
    <row r="72" spans="1:6" x14ac:dyDescent="0.25">
      <c r="A72" s="140" t="s">
        <v>168</v>
      </c>
      <c r="B72" s="29" t="s">
        <v>226</v>
      </c>
      <c r="C72" s="5" t="s">
        <v>236</v>
      </c>
      <c r="D72" s="9">
        <v>28.24</v>
      </c>
      <c r="E72" s="66" t="s">
        <v>420</v>
      </c>
    </row>
    <row r="73" spans="1:6" ht="15.75" thickBot="1" x14ac:dyDescent="0.3">
      <c r="A73" s="496" t="s">
        <v>168</v>
      </c>
      <c r="B73" s="497" t="s">
        <v>226</v>
      </c>
      <c r="C73" s="106" t="s">
        <v>229</v>
      </c>
      <c r="D73" s="292">
        <v>28.08</v>
      </c>
      <c r="E73" s="119" t="s">
        <v>420</v>
      </c>
    </row>
    <row r="74" spans="1:6" x14ac:dyDescent="0.25">
      <c r="A74" s="502" t="s">
        <v>868</v>
      </c>
      <c r="B74" s="104" t="s">
        <v>169</v>
      </c>
      <c r="C74" s="48" t="str">
        <f>"619217572534"</f>
        <v>619217572534</v>
      </c>
      <c r="D74" s="49">
        <v>24.51</v>
      </c>
      <c r="E74" s="228" t="s">
        <v>419</v>
      </c>
      <c r="F74" s="229" t="s">
        <v>592</v>
      </c>
    </row>
    <row r="75" spans="1:6" x14ac:dyDescent="0.25">
      <c r="A75" s="501" t="s">
        <v>868</v>
      </c>
      <c r="B75" s="103" t="s">
        <v>169</v>
      </c>
      <c r="C75" s="5" t="str">
        <f>"619217572533"</f>
        <v>619217572533</v>
      </c>
      <c r="D75" s="2">
        <v>24.58</v>
      </c>
      <c r="E75" s="225" t="s">
        <v>419</v>
      </c>
      <c r="F75" s="230" t="s">
        <v>591</v>
      </c>
    </row>
    <row r="76" spans="1:6" x14ac:dyDescent="0.25">
      <c r="A76" s="501" t="s">
        <v>868</v>
      </c>
      <c r="B76" s="103" t="s">
        <v>169</v>
      </c>
      <c r="C76" s="5" t="str">
        <f>"619217372532"</f>
        <v>619217372532</v>
      </c>
      <c r="D76" s="2">
        <v>24.8</v>
      </c>
      <c r="E76" s="225" t="s">
        <v>419</v>
      </c>
      <c r="F76" s="230" t="s">
        <v>590</v>
      </c>
    </row>
    <row r="77" spans="1:6" x14ac:dyDescent="0.25">
      <c r="A77" s="501" t="s">
        <v>868</v>
      </c>
      <c r="B77" s="103" t="s">
        <v>169</v>
      </c>
      <c r="C77" s="5" t="str">
        <f>"619217572531"</f>
        <v>619217572531</v>
      </c>
      <c r="D77" s="2">
        <v>25.31</v>
      </c>
      <c r="E77" s="225" t="s">
        <v>419</v>
      </c>
      <c r="F77" s="230" t="s">
        <v>589</v>
      </c>
    </row>
    <row r="78" spans="1:6" x14ac:dyDescent="0.25">
      <c r="A78" s="501" t="s">
        <v>868</v>
      </c>
      <c r="B78" s="103" t="s">
        <v>169</v>
      </c>
      <c r="C78" s="5" t="str">
        <f>"619217572530"</f>
        <v>619217572530</v>
      </c>
      <c r="D78" s="2">
        <v>25.89</v>
      </c>
      <c r="E78" s="225" t="s">
        <v>419</v>
      </c>
      <c r="F78" s="230" t="s">
        <v>588</v>
      </c>
    </row>
    <row r="79" spans="1:6" x14ac:dyDescent="0.25">
      <c r="A79" s="501" t="s">
        <v>868</v>
      </c>
      <c r="B79" s="103" t="s">
        <v>169</v>
      </c>
      <c r="C79" s="5" t="str">
        <f>"619217372529"</f>
        <v>619217372529</v>
      </c>
      <c r="D79" s="2">
        <v>26.62</v>
      </c>
      <c r="E79" s="225" t="s">
        <v>419</v>
      </c>
      <c r="F79" s="230" t="s">
        <v>587</v>
      </c>
    </row>
    <row r="80" spans="1:6" x14ac:dyDescent="0.25">
      <c r="A80" s="501" t="s">
        <v>868</v>
      </c>
      <c r="B80" s="103" t="s">
        <v>169</v>
      </c>
      <c r="C80" s="5" t="str">
        <f>"619217572528"</f>
        <v>619217572528</v>
      </c>
      <c r="D80" s="2">
        <v>26.76</v>
      </c>
      <c r="E80" s="225" t="s">
        <v>419</v>
      </c>
      <c r="F80" s="230" t="s">
        <v>586</v>
      </c>
    </row>
    <row r="81" spans="1:7" x14ac:dyDescent="0.25">
      <c r="A81" s="501" t="s">
        <v>868</v>
      </c>
      <c r="B81" s="103" t="s">
        <v>169</v>
      </c>
      <c r="C81" s="5" t="str">
        <f>"619217572527"</f>
        <v>619217572527</v>
      </c>
      <c r="D81" s="2">
        <v>27.04</v>
      </c>
      <c r="E81" s="225" t="s">
        <v>419</v>
      </c>
      <c r="F81" s="230" t="s">
        <v>585</v>
      </c>
    </row>
    <row r="82" spans="1:7" x14ac:dyDescent="0.25">
      <c r="A82" s="501" t="s">
        <v>868</v>
      </c>
      <c r="B82" s="103" t="s">
        <v>169</v>
      </c>
      <c r="C82" s="5" t="str">
        <f>"619217572526"</f>
        <v>619217572526</v>
      </c>
      <c r="D82" s="2">
        <v>27.05</v>
      </c>
      <c r="E82" s="225" t="s">
        <v>419</v>
      </c>
      <c r="F82" s="230" t="s">
        <v>584</v>
      </c>
    </row>
    <row r="83" spans="1:7" x14ac:dyDescent="0.25">
      <c r="A83" s="501" t="s">
        <v>868</v>
      </c>
      <c r="B83" s="103" t="s">
        <v>169</v>
      </c>
      <c r="C83" s="5" t="str">
        <f>"619217572525"</f>
        <v>619217572525</v>
      </c>
      <c r="D83" s="2">
        <v>27.13</v>
      </c>
      <c r="E83" s="225" t="s">
        <v>419</v>
      </c>
      <c r="F83" s="230" t="s">
        <v>583</v>
      </c>
    </row>
    <row r="84" spans="1:7" x14ac:dyDescent="0.25">
      <c r="A84" s="501" t="s">
        <v>868</v>
      </c>
      <c r="B84" s="103" t="s">
        <v>169</v>
      </c>
      <c r="C84" s="5" t="str">
        <f>"619217372524"</f>
        <v>619217372524</v>
      </c>
      <c r="D84" s="2">
        <v>27.78</v>
      </c>
      <c r="E84" s="225" t="s">
        <v>419</v>
      </c>
      <c r="F84" s="230" t="s">
        <v>582</v>
      </c>
    </row>
    <row r="85" spans="1:7" x14ac:dyDescent="0.25">
      <c r="A85" s="501" t="s">
        <v>868</v>
      </c>
      <c r="B85" s="103" t="s">
        <v>169</v>
      </c>
      <c r="C85" s="5" t="str">
        <f>"619217572523"</f>
        <v>619217572523</v>
      </c>
      <c r="D85" s="2">
        <v>27.85</v>
      </c>
      <c r="E85" s="225" t="s">
        <v>419</v>
      </c>
      <c r="F85" s="230" t="s">
        <v>581</v>
      </c>
    </row>
    <row r="86" spans="1:7" x14ac:dyDescent="0.25">
      <c r="A86" s="501" t="s">
        <v>868</v>
      </c>
      <c r="B86" s="103" t="s">
        <v>169</v>
      </c>
      <c r="C86" s="5" t="str">
        <f>"619217572522"</f>
        <v>619217572522</v>
      </c>
      <c r="D86" s="2">
        <v>27.93</v>
      </c>
      <c r="E86" s="225" t="s">
        <v>419</v>
      </c>
      <c r="F86" s="230" t="s">
        <v>580</v>
      </c>
    </row>
    <row r="87" spans="1:7" x14ac:dyDescent="0.25">
      <c r="A87" s="501" t="s">
        <v>868</v>
      </c>
      <c r="B87" s="103" t="s">
        <v>169</v>
      </c>
      <c r="C87" s="5" t="str">
        <f>"619217572521"</f>
        <v>619217572521</v>
      </c>
      <c r="D87" s="2">
        <v>29.09</v>
      </c>
      <c r="E87" s="225" t="s">
        <v>419</v>
      </c>
      <c r="F87" s="230" t="s">
        <v>579</v>
      </c>
    </row>
    <row r="88" spans="1:7" x14ac:dyDescent="0.25">
      <c r="A88" s="501" t="s">
        <v>868</v>
      </c>
      <c r="B88" s="103" t="s">
        <v>169</v>
      </c>
      <c r="C88" s="5" t="str">
        <f>"619217372520"</f>
        <v>619217372520</v>
      </c>
      <c r="D88" s="2">
        <v>31.78</v>
      </c>
      <c r="E88" s="225" t="s">
        <v>419</v>
      </c>
      <c r="F88" s="230" t="s">
        <v>578</v>
      </c>
    </row>
    <row r="89" spans="1:7" x14ac:dyDescent="0.25">
      <c r="A89" s="501" t="s">
        <v>868</v>
      </c>
      <c r="B89" s="103" t="s">
        <v>169</v>
      </c>
      <c r="C89" s="5" t="str">
        <f>"619217572545"</f>
        <v>619217572545</v>
      </c>
      <c r="D89" s="27">
        <v>22.76</v>
      </c>
      <c r="E89" s="226" t="s">
        <v>420</v>
      </c>
      <c r="F89" s="230" t="s">
        <v>595</v>
      </c>
    </row>
    <row r="90" spans="1:7" x14ac:dyDescent="0.25">
      <c r="A90" s="501" t="s">
        <v>868</v>
      </c>
      <c r="B90" s="103" t="s">
        <v>169</v>
      </c>
      <c r="C90" s="5" t="str">
        <f>"619217702544"</f>
        <v>619217702544</v>
      </c>
      <c r="D90" s="27">
        <v>23.93</v>
      </c>
      <c r="E90" s="226" t="s">
        <v>420</v>
      </c>
      <c r="F90" s="230" t="s">
        <v>594</v>
      </c>
    </row>
    <row r="91" spans="1:7" ht="15.75" thickBot="1" x14ac:dyDescent="0.3">
      <c r="A91" s="503" t="s">
        <v>868</v>
      </c>
      <c r="B91" s="105" t="s">
        <v>169</v>
      </c>
      <c r="C91" s="44" t="str">
        <f>"619217572543"</f>
        <v>619217572543</v>
      </c>
      <c r="D91" s="63">
        <v>24.29</v>
      </c>
      <c r="E91" s="234" t="s">
        <v>420</v>
      </c>
      <c r="F91" s="231" t="s">
        <v>593</v>
      </c>
    </row>
    <row r="92" spans="1:7" x14ac:dyDescent="0.25">
      <c r="A92" s="498" t="s">
        <v>868</v>
      </c>
      <c r="B92" s="499" t="s">
        <v>187</v>
      </c>
      <c r="C92" s="48" t="str">
        <f>"619217572542"</f>
        <v>619217572542</v>
      </c>
      <c r="D92" s="49">
        <v>28.87</v>
      </c>
      <c r="E92" s="228" t="s">
        <v>419</v>
      </c>
      <c r="F92" s="246" t="s">
        <v>585</v>
      </c>
      <c r="G92" s="6"/>
    </row>
    <row r="93" spans="1:7" x14ac:dyDescent="0.25">
      <c r="A93" s="500" t="s">
        <v>868</v>
      </c>
      <c r="B93" s="17" t="s">
        <v>187</v>
      </c>
      <c r="C93" s="5" t="str">
        <f>"619217572541"</f>
        <v>619217572541</v>
      </c>
      <c r="D93" s="2">
        <v>29.38</v>
      </c>
      <c r="E93" s="225" t="s">
        <v>419</v>
      </c>
      <c r="F93" s="247" t="s">
        <v>584</v>
      </c>
      <c r="G93" s="6"/>
    </row>
    <row r="94" spans="1:7" x14ac:dyDescent="0.25">
      <c r="A94" s="500" t="s">
        <v>868</v>
      </c>
      <c r="B94" s="17" t="s">
        <v>187</v>
      </c>
      <c r="C94" s="5" t="str">
        <f>"619217572540"</f>
        <v>619217572540</v>
      </c>
      <c r="D94" s="2">
        <v>29.89</v>
      </c>
      <c r="E94" s="225" t="s">
        <v>419</v>
      </c>
      <c r="F94" s="247" t="s">
        <v>583</v>
      </c>
      <c r="G94" s="6"/>
    </row>
    <row r="95" spans="1:7" x14ac:dyDescent="0.25">
      <c r="A95" s="500" t="s">
        <v>868</v>
      </c>
      <c r="B95" s="17" t="s">
        <v>187</v>
      </c>
      <c r="C95" s="5" t="str">
        <f>"619217572539"</f>
        <v>619217572539</v>
      </c>
      <c r="D95" s="2">
        <v>29.96</v>
      </c>
      <c r="E95" s="225" t="s">
        <v>419</v>
      </c>
      <c r="F95" s="230" t="s">
        <v>582</v>
      </c>
      <c r="G95" s="6"/>
    </row>
    <row r="96" spans="1:7" x14ac:dyDescent="0.25">
      <c r="A96" s="500" t="s">
        <v>868</v>
      </c>
      <c r="B96" s="17" t="s">
        <v>187</v>
      </c>
      <c r="C96" s="5" t="str">
        <f>"619217572538"</f>
        <v>619217572538</v>
      </c>
      <c r="D96" s="2">
        <v>30.03</v>
      </c>
      <c r="E96" s="225" t="s">
        <v>419</v>
      </c>
      <c r="F96" s="230" t="s">
        <v>581</v>
      </c>
      <c r="G96" s="6"/>
    </row>
    <row r="97" spans="1:7" x14ac:dyDescent="0.25">
      <c r="A97" s="500" t="s">
        <v>868</v>
      </c>
      <c r="B97" s="17" t="s">
        <v>187</v>
      </c>
      <c r="C97" s="5" t="str">
        <f>"619217572537"</f>
        <v>619217572537</v>
      </c>
      <c r="D97" s="2">
        <v>30.55</v>
      </c>
      <c r="E97" s="225" t="s">
        <v>419</v>
      </c>
      <c r="F97" s="230" t="s">
        <v>580</v>
      </c>
      <c r="G97" s="6"/>
    </row>
    <row r="98" spans="1:7" x14ac:dyDescent="0.25">
      <c r="A98" s="500" t="s">
        <v>868</v>
      </c>
      <c r="B98" s="17" t="s">
        <v>187</v>
      </c>
      <c r="C98" s="5" t="str">
        <f>"619217572536"</f>
        <v>619217572536</v>
      </c>
      <c r="D98" s="2">
        <v>30.55</v>
      </c>
      <c r="E98" s="225" t="s">
        <v>419</v>
      </c>
      <c r="F98" s="230" t="s">
        <v>579</v>
      </c>
      <c r="G98" s="6"/>
    </row>
    <row r="99" spans="1:7" x14ac:dyDescent="0.25">
      <c r="A99" s="500" t="s">
        <v>868</v>
      </c>
      <c r="B99" s="17" t="s">
        <v>187</v>
      </c>
      <c r="C99" s="5" t="str">
        <f>"619217572535"</f>
        <v>619217572535</v>
      </c>
      <c r="D99" s="2">
        <v>31.49</v>
      </c>
      <c r="E99" s="225" t="s">
        <v>419</v>
      </c>
      <c r="F99" s="230" t="s">
        <v>578</v>
      </c>
      <c r="G99" s="6"/>
    </row>
    <row r="100" spans="1:7" x14ac:dyDescent="0.25">
      <c r="A100" s="501" t="s">
        <v>868</v>
      </c>
      <c r="B100" s="17" t="s">
        <v>187</v>
      </c>
      <c r="C100" s="5" t="str">
        <f>"619217572568"</f>
        <v>619217572568</v>
      </c>
      <c r="D100" s="26">
        <v>23.05</v>
      </c>
      <c r="E100" s="226" t="s">
        <v>420</v>
      </c>
      <c r="F100" s="247" t="s">
        <v>623</v>
      </c>
      <c r="G100" s="6"/>
    </row>
    <row r="101" spans="1:7" x14ac:dyDescent="0.25">
      <c r="A101" s="500" t="s">
        <v>868</v>
      </c>
      <c r="B101" s="17" t="s">
        <v>187</v>
      </c>
      <c r="C101" s="5" t="str">
        <f>"619217572567"</f>
        <v>619217572567</v>
      </c>
      <c r="D101" s="26">
        <v>23.56</v>
      </c>
      <c r="E101" s="226" t="s">
        <v>420</v>
      </c>
      <c r="F101" s="247" t="s">
        <v>622</v>
      </c>
      <c r="G101" s="6"/>
    </row>
    <row r="102" spans="1:7" x14ac:dyDescent="0.25">
      <c r="A102" s="500" t="s">
        <v>868</v>
      </c>
      <c r="B102" s="17" t="s">
        <v>187</v>
      </c>
      <c r="C102" s="5" t="str">
        <f>"619217572566"</f>
        <v>619217572566</v>
      </c>
      <c r="D102" s="26">
        <v>23.78</v>
      </c>
      <c r="E102" s="226" t="s">
        <v>420</v>
      </c>
      <c r="F102" s="247" t="s">
        <v>621</v>
      </c>
      <c r="G102" s="6"/>
    </row>
    <row r="103" spans="1:7" x14ac:dyDescent="0.25">
      <c r="A103" s="500" t="s">
        <v>868</v>
      </c>
      <c r="B103" s="17" t="s">
        <v>187</v>
      </c>
      <c r="C103" s="5" t="str">
        <f>"619217572565"</f>
        <v>619217572565</v>
      </c>
      <c r="D103" s="26">
        <v>24.07</v>
      </c>
      <c r="E103" s="226" t="s">
        <v>420</v>
      </c>
      <c r="F103" s="230" t="s">
        <v>620</v>
      </c>
      <c r="G103" s="486"/>
    </row>
    <row r="104" spans="1:7" x14ac:dyDescent="0.25">
      <c r="A104" s="500" t="s">
        <v>868</v>
      </c>
      <c r="B104" s="17" t="s">
        <v>187</v>
      </c>
      <c r="C104" s="5" t="str">
        <f>"619217572564"</f>
        <v>619217572564</v>
      </c>
      <c r="D104" s="26">
        <v>24.29</v>
      </c>
      <c r="E104" s="226" t="s">
        <v>420</v>
      </c>
      <c r="F104" s="230" t="s">
        <v>619</v>
      </c>
    </row>
    <row r="105" spans="1:7" x14ac:dyDescent="0.25">
      <c r="A105" s="500" t="s">
        <v>868</v>
      </c>
      <c r="B105" s="17" t="s">
        <v>187</v>
      </c>
      <c r="C105" s="5" t="str">
        <f>"619217572563"</f>
        <v>619217572563</v>
      </c>
      <c r="D105" s="26">
        <v>24.44</v>
      </c>
      <c r="E105" s="226" t="s">
        <v>420</v>
      </c>
      <c r="F105" s="230" t="s">
        <v>618</v>
      </c>
    </row>
    <row r="106" spans="1:7" x14ac:dyDescent="0.25">
      <c r="A106" s="500" t="s">
        <v>868</v>
      </c>
      <c r="B106" s="17" t="s">
        <v>187</v>
      </c>
      <c r="C106" s="5" t="str">
        <f>"619217572562"</f>
        <v>619217572562</v>
      </c>
      <c r="D106" s="26">
        <v>24.58</v>
      </c>
      <c r="E106" s="226" t="s">
        <v>420</v>
      </c>
      <c r="F106" s="230" t="s">
        <v>617</v>
      </c>
    </row>
    <row r="107" spans="1:7" x14ac:dyDescent="0.25">
      <c r="A107" s="500" t="s">
        <v>868</v>
      </c>
      <c r="B107" s="17" t="s">
        <v>187</v>
      </c>
      <c r="C107" s="5" t="str">
        <f>"619217372561"</f>
        <v>619217372561</v>
      </c>
      <c r="D107" s="26">
        <v>24.65</v>
      </c>
      <c r="E107" s="226" t="s">
        <v>420</v>
      </c>
      <c r="F107" s="230" t="s">
        <v>616</v>
      </c>
    </row>
    <row r="108" spans="1:7" x14ac:dyDescent="0.25">
      <c r="A108" s="500" t="s">
        <v>868</v>
      </c>
      <c r="B108" s="17" t="s">
        <v>187</v>
      </c>
      <c r="C108" s="5" t="str">
        <f>"619217572560"</f>
        <v>619217572560</v>
      </c>
      <c r="D108" s="26">
        <v>24.65</v>
      </c>
      <c r="E108" s="226" t="s">
        <v>420</v>
      </c>
      <c r="F108" s="230" t="s">
        <v>600</v>
      </c>
    </row>
    <row r="109" spans="1:7" x14ac:dyDescent="0.25">
      <c r="A109" s="501" t="s">
        <v>868</v>
      </c>
      <c r="B109" s="17" t="s">
        <v>187</v>
      </c>
      <c r="C109" s="5" t="str">
        <f>"619217572559"</f>
        <v>619217572559</v>
      </c>
      <c r="D109" s="26">
        <v>25.02</v>
      </c>
      <c r="E109" s="226" t="s">
        <v>420</v>
      </c>
      <c r="F109" s="230" t="s">
        <v>599</v>
      </c>
    </row>
    <row r="110" spans="1:7" x14ac:dyDescent="0.25">
      <c r="A110" s="500" t="s">
        <v>868</v>
      </c>
      <c r="B110" s="17" t="s">
        <v>187</v>
      </c>
      <c r="C110" s="5" t="str">
        <f>"619217572558"</f>
        <v>619217572558</v>
      </c>
      <c r="D110" s="26">
        <v>25.65</v>
      </c>
      <c r="E110" s="226" t="s">
        <v>420</v>
      </c>
      <c r="F110" s="230" t="s">
        <v>598</v>
      </c>
    </row>
    <row r="111" spans="1:7" x14ac:dyDescent="0.25">
      <c r="A111" s="500" t="s">
        <v>868</v>
      </c>
      <c r="B111" s="17" t="s">
        <v>187</v>
      </c>
      <c r="C111" s="5" t="str">
        <f>"619217372557"</f>
        <v>619217372557</v>
      </c>
      <c r="D111" s="26">
        <v>26.4</v>
      </c>
      <c r="E111" s="226" t="s">
        <v>420</v>
      </c>
      <c r="F111" s="230" t="s">
        <v>597</v>
      </c>
    </row>
    <row r="112" spans="1:7" x14ac:dyDescent="0.25">
      <c r="A112" s="500" t="s">
        <v>868</v>
      </c>
      <c r="B112" s="17" t="s">
        <v>187</v>
      </c>
      <c r="C112" s="5" t="str">
        <f>"619217572556"</f>
        <v>619217572556</v>
      </c>
      <c r="D112" s="26">
        <v>26.47</v>
      </c>
      <c r="E112" s="226" t="s">
        <v>420</v>
      </c>
      <c r="F112" s="230" t="s">
        <v>596</v>
      </c>
    </row>
    <row r="113" spans="1:6" x14ac:dyDescent="0.25">
      <c r="A113" s="500" t="s">
        <v>868</v>
      </c>
      <c r="B113" s="17" t="s">
        <v>187</v>
      </c>
      <c r="C113" s="5" t="str">
        <f>"619217572555"</f>
        <v>619217572555</v>
      </c>
      <c r="D113" s="26">
        <v>26.98</v>
      </c>
      <c r="E113" s="226" t="s">
        <v>420</v>
      </c>
      <c r="F113" s="230" t="s">
        <v>595</v>
      </c>
    </row>
    <row r="114" spans="1:6" x14ac:dyDescent="0.25">
      <c r="A114" s="500" t="s">
        <v>868</v>
      </c>
      <c r="B114" s="17" t="s">
        <v>187</v>
      </c>
      <c r="C114" s="5" t="str">
        <f>"619217372554"</f>
        <v>619217372554</v>
      </c>
      <c r="D114" s="26">
        <v>27.05</v>
      </c>
      <c r="E114" s="226" t="s">
        <v>420</v>
      </c>
      <c r="F114" s="230" t="s">
        <v>594</v>
      </c>
    </row>
    <row r="115" spans="1:6" x14ac:dyDescent="0.25">
      <c r="A115" s="500" t="s">
        <v>868</v>
      </c>
      <c r="B115" s="17" t="s">
        <v>187</v>
      </c>
      <c r="C115" s="5" t="str">
        <f>"619217572553"</f>
        <v>619217572553</v>
      </c>
      <c r="D115" s="26">
        <v>27.05</v>
      </c>
      <c r="E115" s="226" t="s">
        <v>420</v>
      </c>
      <c r="F115" s="230" t="s">
        <v>593</v>
      </c>
    </row>
    <row r="116" spans="1:6" x14ac:dyDescent="0.25">
      <c r="A116" s="500" t="s">
        <v>868</v>
      </c>
      <c r="B116" s="17" t="s">
        <v>187</v>
      </c>
      <c r="C116" s="5" t="str">
        <f>"619217372552"</f>
        <v>619217372552</v>
      </c>
      <c r="D116" s="26">
        <v>27.05</v>
      </c>
      <c r="E116" s="226" t="s">
        <v>420</v>
      </c>
      <c r="F116" s="230" t="s">
        <v>592</v>
      </c>
    </row>
    <row r="117" spans="1:6" x14ac:dyDescent="0.25">
      <c r="A117" s="500" t="s">
        <v>868</v>
      </c>
      <c r="B117" s="17" t="s">
        <v>187</v>
      </c>
      <c r="C117" s="5" t="str">
        <f>"619217572551"</f>
        <v>619217572551</v>
      </c>
      <c r="D117" s="26">
        <v>27.49</v>
      </c>
      <c r="E117" s="226" t="s">
        <v>420</v>
      </c>
      <c r="F117" s="230" t="s">
        <v>591</v>
      </c>
    </row>
    <row r="118" spans="1:6" x14ac:dyDescent="0.25">
      <c r="A118" s="501" t="s">
        <v>868</v>
      </c>
      <c r="B118" s="17" t="s">
        <v>187</v>
      </c>
      <c r="C118" s="5" t="str">
        <f>"619217572550"</f>
        <v>619217572550</v>
      </c>
      <c r="D118" s="26">
        <v>28.15</v>
      </c>
      <c r="E118" s="226" t="s">
        <v>420</v>
      </c>
      <c r="F118" s="230" t="s">
        <v>590</v>
      </c>
    </row>
    <row r="119" spans="1:6" x14ac:dyDescent="0.25">
      <c r="A119" s="500" t="s">
        <v>868</v>
      </c>
      <c r="B119" s="17" t="s">
        <v>187</v>
      </c>
      <c r="C119" s="5" t="str">
        <f>"619217672549"</f>
        <v>619217672549</v>
      </c>
      <c r="D119" s="26">
        <v>28.36</v>
      </c>
      <c r="E119" s="226" t="s">
        <v>420</v>
      </c>
      <c r="F119" s="230" t="s">
        <v>589</v>
      </c>
    </row>
    <row r="120" spans="1:6" x14ac:dyDescent="0.25">
      <c r="A120" s="500" t="s">
        <v>868</v>
      </c>
      <c r="B120" s="17" t="s">
        <v>187</v>
      </c>
      <c r="C120" s="5" t="str">
        <f>"619217572548"</f>
        <v>619217572548</v>
      </c>
      <c r="D120" s="26">
        <v>28.73</v>
      </c>
      <c r="E120" s="226" t="s">
        <v>420</v>
      </c>
      <c r="F120" s="230" t="s">
        <v>588</v>
      </c>
    </row>
    <row r="121" spans="1:6" x14ac:dyDescent="0.25">
      <c r="A121" s="500" t="s">
        <v>868</v>
      </c>
      <c r="B121" s="17" t="s">
        <v>187</v>
      </c>
      <c r="C121" s="5" t="str">
        <f>"619217372547"</f>
        <v>619217372547</v>
      </c>
      <c r="D121" s="26">
        <v>28.8</v>
      </c>
      <c r="E121" s="226" t="s">
        <v>420</v>
      </c>
      <c r="F121" s="230" t="s">
        <v>587</v>
      </c>
    </row>
    <row r="122" spans="1:6" ht="15.75" thickBot="1" x14ac:dyDescent="0.3">
      <c r="A122" s="531" t="s">
        <v>868</v>
      </c>
      <c r="B122" s="532" t="s">
        <v>187</v>
      </c>
      <c r="C122" s="106" t="str">
        <f>"619217372546"</f>
        <v>619217372546</v>
      </c>
      <c r="D122" s="375">
        <v>28.87</v>
      </c>
      <c r="E122" s="383" t="s">
        <v>420</v>
      </c>
      <c r="F122" s="471" t="s">
        <v>586</v>
      </c>
    </row>
    <row r="123" spans="1:6" x14ac:dyDescent="0.25">
      <c r="A123" s="156" t="s">
        <v>1019</v>
      </c>
      <c r="B123" s="36" t="s">
        <v>214</v>
      </c>
      <c r="C123" s="48" t="s">
        <v>1020</v>
      </c>
      <c r="D123" s="38">
        <v>30.62</v>
      </c>
      <c r="E123" s="228" t="s">
        <v>419</v>
      </c>
      <c r="F123" s="246" t="s">
        <v>578</v>
      </c>
    </row>
    <row r="124" spans="1:6" x14ac:dyDescent="0.25">
      <c r="A124" s="95" t="s">
        <v>1019</v>
      </c>
      <c r="B124" s="11" t="s">
        <v>214</v>
      </c>
      <c r="C124" s="5" t="s">
        <v>1021</v>
      </c>
      <c r="D124" s="9">
        <v>30.4</v>
      </c>
      <c r="E124" s="225" t="s">
        <v>419</v>
      </c>
      <c r="F124" s="247" t="s">
        <v>579</v>
      </c>
    </row>
    <row r="125" spans="1:6" x14ac:dyDescent="0.25">
      <c r="A125" s="95" t="s">
        <v>1019</v>
      </c>
      <c r="B125" s="11" t="s">
        <v>214</v>
      </c>
      <c r="C125" s="5" t="s">
        <v>1022</v>
      </c>
      <c r="D125" s="9">
        <v>29.6</v>
      </c>
      <c r="E125" s="225" t="s">
        <v>419</v>
      </c>
      <c r="F125" s="247" t="s">
        <v>580</v>
      </c>
    </row>
    <row r="126" spans="1:6" x14ac:dyDescent="0.25">
      <c r="A126" s="95" t="s">
        <v>1019</v>
      </c>
      <c r="B126" s="11" t="s">
        <v>214</v>
      </c>
      <c r="C126" s="5" t="s">
        <v>1023</v>
      </c>
      <c r="D126" s="9">
        <v>28.07</v>
      </c>
      <c r="E126" s="225" t="s">
        <v>419</v>
      </c>
      <c r="F126" s="247" t="s">
        <v>581</v>
      </c>
    </row>
    <row r="127" spans="1:6" x14ac:dyDescent="0.25">
      <c r="A127" s="95" t="s">
        <v>1019</v>
      </c>
      <c r="B127" s="11" t="s">
        <v>214</v>
      </c>
      <c r="C127" s="5" t="s">
        <v>1024</v>
      </c>
      <c r="D127" s="9">
        <v>27.2</v>
      </c>
      <c r="E127" s="225" t="s">
        <v>419</v>
      </c>
      <c r="F127" s="247" t="s">
        <v>582</v>
      </c>
    </row>
    <row r="128" spans="1:6" x14ac:dyDescent="0.25">
      <c r="A128" s="95" t="s">
        <v>1019</v>
      </c>
      <c r="B128" s="11" t="s">
        <v>214</v>
      </c>
      <c r="C128" s="5" t="s">
        <v>1025</v>
      </c>
      <c r="D128" s="9">
        <v>27.05</v>
      </c>
      <c r="E128" s="225" t="s">
        <v>419</v>
      </c>
      <c r="F128" s="247" t="s">
        <v>583</v>
      </c>
    </row>
    <row r="129" spans="1:6" x14ac:dyDescent="0.25">
      <c r="A129" s="95" t="s">
        <v>1019</v>
      </c>
      <c r="B129" s="11" t="s">
        <v>214</v>
      </c>
      <c r="C129" s="5" t="s">
        <v>1026</v>
      </c>
      <c r="D129" s="9">
        <v>26.84</v>
      </c>
      <c r="E129" s="225" t="s">
        <v>419</v>
      </c>
      <c r="F129" s="247" t="s">
        <v>584</v>
      </c>
    </row>
    <row r="130" spans="1:6" x14ac:dyDescent="0.25">
      <c r="A130" s="95" t="s">
        <v>1019</v>
      </c>
      <c r="B130" s="11" t="s">
        <v>214</v>
      </c>
      <c r="C130" s="5" t="s">
        <v>1027</v>
      </c>
      <c r="D130" s="9">
        <v>25.38</v>
      </c>
      <c r="E130" s="225" t="s">
        <v>419</v>
      </c>
      <c r="F130" s="247" t="s">
        <v>585</v>
      </c>
    </row>
    <row r="131" spans="1:6" x14ac:dyDescent="0.25">
      <c r="A131" s="95" t="s">
        <v>1019</v>
      </c>
      <c r="B131" s="11" t="s">
        <v>214</v>
      </c>
      <c r="C131" s="5" t="s">
        <v>1028</v>
      </c>
      <c r="D131" s="9">
        <v>24.51</v>
      </c>
      <c r="E131" s="226" t="s">
        <v>420</v>
      </c>
      <c r="F131" s="247" t="s">
        <v>586</v>
      </c>
    </row>
    <row r="132" spans="1:6" x14ac:dyDescent="0.25">
      <c r="A132" s="95" t="s">
        <v>1019</v>
      </c>
      <c r="B132" s="11" t="s">
        <v>214</v>
      </c>
      <c r="C132" s="5" t="s">
        <v>1029</v>
      </c>
      <c r="D132" s="9">
        <v>24.22</v>
      </c>
      <c r="E132" s="226" t="s">
        <v>420</v>
      </c>
      <c r="F132" s="247" t="s">
        <v>587</v>
      </c>
    </row>
    <row r="133" spans="1:6" x14ac:dyDescent="0.25">
      <c r="A133" s="95" t="s">
        <v>1019</v>
      </c>
      <c r="B133" s="11" t="s">
        <v>214</v>
      </c>
      <c r="C133" s="5" t="s">
        <v>1030</v>
      </c>
      <c r="D133" s="9">
        <v>24.22</v>
      </c>
      <c r="E133" s="226" t="s">
        <v>420</v>
      </c>
      <c r="F133" s="247" t="s">
        <v>588</v>
      </c>
    </row>
    <row r="134" spans="1:6" x14ac:dyDescent="0.25">
      <c r="A134" s="95" t="s">
        <v>1019</v>
      </c>
      <c r="B134" s="11" t="s">
        <v>214</v>
      </c>
      <c r="C134" s="5" t="s">
        <v>1031</v>
      </c>
      <c r="D134" s="9">
        <v>23.78</v>
      </c>
      <c r="E134" s="226" t="s">
        <v>420</v>
      </c>
      <c r="F134" s="247" t="s">
        <v>589</v>
      </c>
    </row>
    <row r="135" spans="1:6" x14ac:dyDescent="0.25">
      <c r="A135" s="95" t="s">
        <v>1019</v>
      </c>
      <c r="B135" s="11" t="s">
        <v>214</v>
      </c>
      <c r="C135" s="5" t="s">
        <v>1032</v>
      </c>
      <c r="D135" s="9">
        <v>23.49</v>
      </c>
      <c r="E135" s="226" t="s">
        <v>420</v>
      </c>
      <c r="F135" s="247" t="s">
        <v>590</v>
      </c>
    </row>
    <row r="136" spans="1:6" x14ac:dyDescent="0.25">
      <c r="A136" s="95" t="s">
        <v>1019</v>
      </c>
      <c r="B136" s="11" t="s">
        <v>214</v>
      </c>
      <c r="C136" s="5" t="s">
        <v>1033</v>
      </c>
      <c r="D136" s="9">
        <v>22.55</v>
      </c>
      <c r="E136" s="226" t="s">
        <v>420</v>
      </c>
      <c r="F136" s="247" t="s">
        <v>591</v>
      </c>
    </row>
    <row r="137" spans="1:6" x14ac:dyDescent="0.25">
      <c r="A137" s="95" t="s">
        <v>1019</v>
      </c>
      <c r="B137" s="11" t="s">
        <v>226</v>
      </c>
      <c r="C137" s="5" t="s">
        <v>1034</v>
      </c>
      <c r="D137" s="2">
        <v>31.93</v>
      </c>
      <c r="E137" s="225" t="s">
        <v>419</v>
      </c>
      <c r="F137" s="247" t="s">
        <v>578</v>
      </c>
    </row>
    <row r="138" spans="1:6" x14ac:dyDescent="0.25">
      <c r="A138" s="95" t="s">
        <v>1019</v>
      </c>
      <c r="B138" s="11" t="s">
        <v>226</v>
      </c>
      <c r="C138" s="5" t="s">
        <v>1035</v>
      </c>
      <c r="D138" s="2">
        <v>30.76</v>
      </c>
      <c r="E138" s="225" t="s">
        <v>419</v>
      </c>
      <c r="F138" s="247" t="s">
        <v>579</v>
      </c>
    </row>
    <row r="139" spans="1:6" x14ac:dyDescent="0.25">
      <c r="A139" s="95" t="s">
        <v>1019</v>
      </c>
      <c r="B139" s="11" t="s">
        <v>226</v>
      </c>
      <c r="C139" s="5" t="s">
        <v>1036</v>
      </c>
      <c r="D139" s="2">
        <v>30.47</v>
      </c>
      <c r="E139" s="225" t="s">
        <v>419</v>
      </c>
      <c r="F139" s="247" t="s">
        <v>580</v>
      </c>
    </row>
    <row r="140" spans="1:6" x14ac:dyDescent="0.25">
      <c r="A140" s="95" t="s">
        <v>1019</v>
      </c>
      <c r="B140" s="11" t="s">
        <v>226</v>
      </c>
      <c r="C140" s="5" t="s">
        <v>1037</v>
      </c>
      <c r="D140" s="2">
        <v>29.45</v>
      </c>
      <c r="E140" s="225" t="s">
        <v>419</v>
      </c>
      <c r="F140" s="247" t="s">
        <v>581</v>
      </c>
    </row>
    <row r="141" spans="1:6" x14ac:dyDescent="0.25">
      <c r="A141" s="95" t="s">
        <v>1019</v>
      </c>
      <c r="B141" s="11" t="s">
        <v>226</v>
      </c>
      <c r="C141" s="5" t="s">
        <v>1038</v>
      </c>
      <c r="D141" s="2">
        <v>28.44</v>
      </c>
      <c r="E141" s="225" t="s">
        <v>419</v>
      </c>
      <c r="F141" s="247" t="s">
        <v>582</v>
      </c>
    </row>
    <row r="142" spans="1:6" x14ac:dyDescent="0.25">
      <c r="A142" s="95" t="s">
        <v>1019</v>
      </c>
      <c r="B142" s="11" t="s">
        <v>226</v>
      </c>
      <c r="C142" s="5" t="s">
        <v>1039</v>
      </c>
      <c r="D142" s="2">
        <v>28.29</v>
      </c>
      <c r="E142" s="226" t="s">
        <v>420</v>
      </c>
      <c r="F142" s="247" t="s">
        <v>583</v>
      </c>
    </row>
    <row r="143" spans="1:6" x14ac:dyDescent="0.25">
      <c r="A143" s="95" t="s">
        <v>1019</v>
      </c>
      <c r="B143" s="11" t="s">
        <v>226</v>
      </c>
      <c r="C143" s="5" t="s">
        <v>1040</v>
      </c>
      <c r="D143" s="2">
        <v>28</v>
      </c>
      <c r="E143" s="226" t="s">
        <v>420</v>
      </c>
      <c r="F143" s="247" t="s">
        <v>584</v>
      </c>
    </row>
    <row r="144" spans="1:6" x14ac:dyDescent="0.25">
      <c r="A144" s="95" t="s">
        <v>1019</v>
      </c>
      <c r="B144" s="11" t="s">
        <v>226</v>
      </c>
      <c r="C144" s="5" t="s">
        <v>1041</v>
      </c>
      <c r="D144" s="2">
        <v>27.56</v>
      </c>
      <c r="E144" s="226" t="s">
        <v>420</v>
      </c>
      <c r="F144" s="247" t="s">
        <v>585</v>
      </c>
    </row>
    <row r="145" spans="1:6" x14ac:dyDescent="0.25">
      <c r="A145" s="95" t="s">
        <v>1019</v>
      </c>
      <c r="B145" s="11" t="s">
        <v>226</v>
      </c>
      <c r="C145" s="5" t="s">
        <v>1042</v>
      </c>
      <c r="D145" s="2">
        <v>27.49</v>
      </c>
      <c r="E145" s="226" t="s">
        <v>420</v>
      </c>
      <c r="F145" s="247" t="s">
        <v>586</v>
      </c>
    </row>
    <row r="146" spans="1:6" x14ac:dyDescent="0.25">
      <c r="A146" s="95" t="s">
        <v>1019</v>
      </c>
      <c r="B146" s="11" t="s">
        <v>226</v>
      </c>
      <c r="C146" s="5" t="s">
        <v>1043</v>
      </c>
      <c r="D146" s="2">
        <v>27.35</v>
      </c>
      <c r="E146" s="226" t="s">
        <v>420</v>
      </c>
      <c r="F146" s="247" t="s">
        <v>587</v>
      </c>
    </row>
    <row r="147" spans="1:6" x14ac:dyDescent="0.25">
      <c r="A147" s="95" t="s">
        <v>1019</v>
      </c>
      <c r="B147" s="11" t="s">
        <v>226</v>
      </c>
      <c r="C147" s="5" t="s">
        <v>1044</v>
      </c>
      <c r="D147" s="2">
        <v>26.69</v>
      </c>
      <c r="E147" s="226" t="s">
        <v>420</v>
      </c>
      <c r="F147" s="247" t="s">
        <v>588</v>
      </c>
    </row>
    <row r="148" spans="1:6" x14ac:dyDescent="0.25">
      <c r="A148" s="95" t="s">
        <v>1019</v>
      </c>
      <c r="B148" s="11" t="s">
        <v>226</v>
      </c>
      <c r="C148" s="5" t="s">
        <v>1045</v>
      </c>
      <c r="D148" s="2">
        <v>26.69</v>
      </c>
      <c r="E148" s="226" t="s">
        <v>420</v>
      </c>
      <c r="F148" s="247" t="s">
        <v>589</v>
      </c>
    </row>
    <row r="149" spans="1:6" x14ac:dyDescent="0.25">
      <c r="A149" s="95" t="s">
        <v>1019</v>
      </c>
      <c r="B149" s="11" t="s">
        <v>226</v>
      </c>
      <c r="C149" s="5" t="s">
        <v>1046</v>
      </c>
      <c r="D149" s="2">
        <v>26.62</v>
      </c>
      <c r="E149" s="226" t="s">
        <v>420</v>
      </c>
      <c r="F149" s="247" t="s">
        <v>590</v>
      </c>
    </row>
    <row r="150" spans="1:6" x14ac:dyDescent="0.25">
      <c r="A150" s="95" t="s">
        <v>1019</v>
      </c>
      <c r="B150" s="11" t="s">
        <v>226</v>
      </c>
      <c r="C150" s="5" t="s">
        <v>1047</v>
      </c>
      <c r="D150" s="2">
        <v>26.62</v>
      </c>
      <c r="E150" s="226" t="s">
        <v>420</v>
      </c>
      <c r="F150" s="247" t="s">
        <v>591</v>
      </c>
    </row>
    <row r="151" spans="1:6" x14ac:dyDescent="0.25">
      <c r="A151" s="95" t="s">
        <v>1019</v>
      </c>
      <c r="B151" s="11" t="s">
        <v>226</v>
      </c>
      <c r="C151" s="5" t="s">
        <v>1048</v>
      </c>
      <c r="D151" s="2">
        <v>26.4</v>
      </c>
      <c r="E151" s="226" t="s">
        <v>420</v>
      </c>
      <c r="F151" s="247" t="s">
        <v>592</v>
      </c>
    </row>
    <row r="152" spans="1:6" x14ac:dyDescent="0.25">
      <c r="A152" s="95" t="s">
        <v>1019</v>
      </c>
      <c r="B152" s="11" t="s">
        <v>226</v>
      </c>
      <c r="C152" s="5" t="s">
        <v>1049</v>
      </c>
      <c r="D152" s="2">
        <v>25.82</v>
      </c>
      <c r="E152" s="226" t="s">
        <v>420</v>
      </c>
      <c r="F152" s="247" t="s">
        <v>593</v>
      </c>
    </row>
    <row r="153" spans="1:6" x14ac:dyDescent="0.25">
      <c r="A153" s="95" t="s">
        <v>1019</v>
      </c>
      <c r="B153" s="11" t="s">
        <v>226</v>
      </c>
      <c r="C153" s="5" t="s">
        <v>1050</v>
      </c>
      <c r="D153" s="2">
        <v>24.36</v>
      </c>
      <c r="E153" s="226" t="s">
        <v>420</v>
      </c>
      <c r="F153" s="247" t="s">
        <v>594</v>
      </c>
    </row>
    <row r="154" spans="1:6" x14ac:dyDescent="0.25">
      <c r="A154" s="95" t="s">
        <v>1019</v>
      </c>
      <c r="B154" s="11" t="s">
        <v>226</v>
      </c>
      <c r="C154" s="5" t="s">
        <v>1051</v>
      </c>
      <c r="D154" s="2">
        <v>19.850000000000001</v>
      </c>
      <c r="E154" s="226" t="s">
        <v>420</v>
      </c>
      <c r="F154" s="247" t="s">
        <v>595</v>
      </c>
    </row>
    <row r="155" spans="1:6" ht="15.75" thickBot="1" x14ac:dyDescent="0.3">
      <c r="A155" s="235" t="s">
        <v>1019</v>
      </c>
      <c r="B155" s="480" t="s">
        <v>226</v>
      </c>
      <c r="C155" s="106" t="s">
        <v>1052</v>
      </c>
      <c r="D155" s="179" t="s">
        <v>967</v>
      </c>
      <c r="E155" s="383" t="s">
        <v>420</v>
      </c>
      <c r="F155" s="373" t="s">
        <v>1053</v>
      </c>
    </row>
    <row r="156" spans="1:6" ht="15.75" x14ac:dyDescent="0.25">
      <c r="A156" s="616" t="s">
        <v>1133</v>
      </c>
      <c r="B156" s="2" t="s">
        <v>1134</v>
      </c>
      <c r="C156" s="5">
        <v>19201800644</v>
      </c>
      <c r="D156" s="619">
        <v>3.24</v>
      </c>
      <c r="E156" s="228" t="s">
        <v>419</v>
      </c>
      <c r="F156" s="2"/>
    </row>
    <row r="157" spans="1:6" ht="15.75" x14ac:dyDescent="0.25">
      <c r="A157" s="616" t="s">
        <v>1133</v>
      </c>
      <c r="B157" s="2" t="s">
        <v>1134</v>
      </c>
      <c r="C157" s="5">
        <v>19201800645</v>
      </c>
      <c r="D157" s="619">
        <v>3.18</v>
      </c>
      <c r="E157" s="225" t="s">
        <v>419</v>
      </c>
      <c r="F157" s="2"/>
    </row>
    <row r="158" spans="1:6" ht="15.75" x14ac:dyDescent="0.25">
      <c r="A158" s="616" t="s">
        <v>1133</v>
      </c>
      <c r="B158" s="2" t="s">
        <v>1134</v>
      </c>
      <c r="C158" s="5">
        <v>19201800605</v>
      </c>
      <c r="D158" s="619">
        <v>3.04</v>
      </c>
      <c r="E158" s="225" t="s">
        <v>419</v>
      </c>
      <c r="F158" s="2"/>
    </row>
    <row r="159" spans="1:6" ht="15.75" x14ac:dyDescent="0.25">
      <c r="A159" s="616" t="s">
        <v>1133</v>
      </c>
      <c r="B159" s="2" t="s">
        <v>1134</v>
      </c>
      <c r="C159" s="5">
        <v>19201800619</v>
      </c>
      <c r="D159" s="619">
        <v>2.99</v>
      </c>
      <c r="E159" s="225" t="s">
        <v>419</v>
      </c>
      <c r="F159" s="2"/>
    </row>
    <row r="160" spans="1:6" ht="15.75" x14ac:dyDescent="0.25">
      <c r="A160" s="616" t="s">
        <v>1133</v>
      </c>
      <c r="B160" s="2" t="s">
        <v>1134</v>
      </c>
      <c r="C160" s="5">
        <v>19201800612</v>
      </c>
      <c r="D160" s="619">
        <v>2.95</v>
      </c>
      <c r="E160" s="225" t="s">
        <v>419</v>
      </c>
      <c r="F160" s="2"/>
    </row>
    <row r="161" spans="1:6" ht="15.75" x14ac:dyDescent="0.25">
      <c r="A161" s="616" t="s">
        <v>1133</v>
      </c>
      <c r="B161" s="2" t="s">
        <v>1134</v>
      </c>
      <c r="C161" s="5">
        <v>19201800593</v>
      </c>
      <c r="D161" s="619">
        <v>2.92</v>
      </c>
      <c r="E161" s="225" t="s">
        <v>419</v>
      </c>
      <c r="F161" s="2"/>
    </row>
    <row r="162" spans="1:6" ht="15.75" x14ac:dyDescent="0.25">
      <c r="A162" s="616" t="s">
        <v>1133</v>
      </c>
      <c r="B162" s="2" t="s">
        <v>1134</v>
      </c>
      <c r="C162" s="5">
        <v>19201800607</v>
      </c>
      <c r="D162" s="619">
        <v>2.91</v>
      </c>
      <c r="E162" s="225" t="s">
        <v>419</v>
      </c>
      <c r="F162" s="2"/>
    </row>
    <row r="163" spans="1:6" ht="15.75" x14ac:dyDescent="0.25">
      <c r="A163" s="616" t="s">
        <v>1133</v>
      </c>
      <c r="B163" s="2" t="s">
        <v>1134</v>
      </c>
      <c r="C163" s="5">
        <v>19201800544</v>
      </c>
      <c r="D163" s="619">
        <v>2.89</v>
      </c>
      <c r="E163" s="225" t="s">
        <v>419</v>
      </c>
      <c r="F163" s="2"/>
    </row>
    <row r="164" spans="1:6" ht="15.75" x14ac:dyDescent="0.25">
      <c r="A164" s="616" t="s">
        <v>1133</v>
      </c>
      <c r="B164" s="2" t="s">
        <v>1134</v>
      </c>
      <c r="C164" s="5">
        <v>19201800632</v>
      </c>
      <c r="D164" s="619">
        <v>2.88</v>
      </c>
      <c r="E164" s="225" t="s">
        <v>419</v>
      </c>
      <c r="F164" s="2"/>
    </row>
    <row r="165" spans="1:6" ht="15.75" x14ac:dyDescent="0.25">
      <c r="A165" s="616" t="s">
        <v>1133</v>
      </c>
      <c r="B165" s="2" t="s">
        <v>1134</v>
      </c>
      <c r="C165" s="5">
        <v>19201800583</v>
      </c>
      <c r="D165" s="619">
        <v>2.76</v>
      </c>
      <c r="E165" s="226" t="s">
        <v>420</v>
      </c>
      <c r="F165" s="2"/>
    </row>
    <row r="166" spans="1:6" ht="15.75" x14ac:dyDescent="0.25">
      <c r="A166" s="616" t="s">
        <v>1133</v>
      </c>
      <c r="B166" s="2" t="s">
        <v>1134</v>
      </c>
      <c r="C166" s="5">
        <v>19201800641</v>
      </c>
      <c r="D166" s="619">
        <v>2.68</v>
      </c>
      <c r="E166" s="226" t="s">
        <v>420</v>
      </c>
      <c r="F166" s="2"/>
    </row>
    <row r="167" spans="1:6" ht="15.75" x14ac:dyDescent="0.25">
      <c r="A167" s="616" t="s">
        <v>1133</v>
      </c>
      <c r="B167" s="2" t="s">
        <v>1134</v>
      </c>
      <c r="C167" s="5">
        <v>19201800578</v>
      </c>
      <c r="D167" s="619">
        <v>2.67</v>
      </c>
      <c r="E167" s="226" t="s">
        <v>420</v>
      </c>
      <c r="F167" s="2"/>
    </row>
    <row r="168" spans="1:6" ht="15.75" x14ac:dyDescent="0.25">
      <c r="A168" s="616" t="s">
        <v>1133</v>
      </c>
      <c r="B168" s="2" t="s">
        <v>1134</v>
      </c>
      <c r="C168" s="5">
        <v>19201800567</v>
      </c>
      <c r="D168" s="619">
        <v>2.62</v>
      </c>
      <c r="E168" s="226" t="s">
        <v>420</v>
      </c>
      <c r="F168" s="2"/>
    </row>
    <row r="169" spans="1:6" ht="15.75" x14ac:dyDescent="0.25">
      <c r="A169" s="616" t="s">
        <v>1133</v>
      </c>
      <c r="B169" s="2" t="s">
        <v>1134</v>
      </c>
      <c r="C169" s="5">
        <v>19201800590</v>
      </c>
      <c r="D169" s="619">
        <v>2.59</v>
      </c>
      <c r="E169" s="226" t="s">
        <v>420</v>
      </c>
      <c r="F169" s="2"/>
    </row>
    <row r="170" spans="1:6" ht="15.75" x14ac:dyDescent="0.25">
      <c r="A170" s="616" t="s">
        <v>1133</v>
      </c>
      <c r="B170" s="2" t="s">
        <v>1134</v>
      </c>
      <c r="C170" s="5">
        <v>19201800553</v>
      </c>
      <c r="D170" s="619">
        <v>2.4900000000000002</v>
      </c>
      <c r="E170" s="226" t="s">
        <v>420</v>
      </c>
      <c r="F170" s="2"/>
    </row>
    <row r="171" spans="1:6" ht="15.75" x14ac:dyDescent="0.25">
      <c r="A171" s="616" t="s">
        <v>1133</v>
      </c>
      <c r="B171" s="2" t="s">
        <v>1134</v>
      </c>
      <c r="C171" s="5">
        <v>19201800618</v>
      </c>
      <c r="D171" s="619">
        <v>2.44</v>
      </c>
      <c r="E171" s="226" t="s">
        <v>420</v>
      </c>
      <c r="F171" s="2"/>
    </row>
    <row r="172" spans="1:6" ht="15.75" x14ac:dyDescent="0.25">
      <c r="A172" s="616" t="s">
        <v>1133</v>
      </c>
      <c r="B172" s="2" t="s">
        <v>1134</v>
      </c>
      <c r="C172" s="5">
        <v>19201800625</v>
      </c>
      <c r="D172" s="619">
        <v>2.4300000000000002</v>
      </c>
      <c r="E172" s="226" t="s">
        <v>420</v>
      </c>
      <c r="F172" s="2"/>
    </row>
    <row r="173" spans="1:6" ht="15.75" x14ac:dyDescent="0.25">
      <c r="A173" s="616" t="s">
        <v>1133</v>
      </c>
      <c r="B173" s="2" t="s">
        <v>1134</v>
      </c>
      <c r="C173" s="5">
        <v>19201800546</v>
      </c>
      <c r="D173" s="619">
        <v>2.42</v>
      </c>
      <c r="E173" s="226" t="s">
        <v>420</v>
      </c>
      <c r="F173" s="2"/>
    </row>
    <row r="174" spans="1:6" ht="15.75" x14ac:dyDescent="0.25">
      <c r="A174" s="616" t="s">
        <v>1133</v>
      </c>
      <c r="B174" s="2" t="s">
        <v>1134</v>
      </c>
      <c r="C174" s="5">
        <v>19201800561</v>
      </c>
      <c r="D174" s="619">
        <v>2.41</v>
      </c>
      <c r="E174" s="226" t="s">
        <v>420</v>
      </c>
      <c r="F174" s="2"/>
    </row>
    <row r="175" spans="1:6" ht="15.75" x14ac:dyDescent="0.25">
      <c r="A175" s="616" t="s">
        <v>1133</v>
      </c>
      <c r="B175" s="2" t="s">
        <v>1134</v>
      </c>
      <c r="C175" s="5">
        <v>19201800617</v>
      </c>
      <c r="D175" s="619">
        <v>2.39</v>
      </c>
      <c r="E175" s="226" t="s">
        <v>420</v>
      </c>
      <c r="F175" s="2"/>
    </row>
    <row r="176" spans="1:6" ht="15.75" x14ac:dyDescent="0.25">
      <c r="A176" s="616" t="s">
        <v>1133</v>
      </c>
      <c r="B176" s="2" t="s">
        <v>1134</v>
      </c>
      <c r="C176" s="5">
        <v>19201800594</v>
      </c>
      <c r="D176" s="619">
        <v>2.36</v>
      </c>
      <c r="E176" s="226" t="s">
        <v>420</v>
      </c>
      <c r="F176" s="2"/>
    </row>
    <row r="177" spans="1:6" ht="15.75" x14ac:dyDescent="0.25">
      <c r="A177" s="616" t="s">
        <v>1133</v>
      </c>
      <c r="B177" s="2" t="s">
        <v>1134</v>
      </c>
      <c r="C177" s="5">
        <v>19201800600</v>
      </c>
      <c r="D177" s="619">
        <v>2.34</v>
      </c>
      <c r="E177" s="226" t="s">
        <v>420</v>
      </c>
      <c r="F177" s="2"/>
    </row>
    <row r="178" spans="1:6" ht="15.75" x14ac:dyDescent="0.25">
      <c r="A178" s="616" t="s">
        <v>1133</v>
      </c>
      <c r="B178" s="2" t="s">
        <v>1134</v>
      </c>
      <c r="C178" s="5">
        <v>19201800633</v>
      </c>
      <c r="D178" s="619">
        <v>2.2999999999999998</v>
      </c>
      <c r="E178" s="383" t="s">
        <v>420</v>
      </c>
      <c r="F178" s="2"/>
    </row>
    <row r="179" spans="1:6" ht="15.75" x14ac:dyDescent="0.25">
      <c r="A179" s="616" t="s">
        <v>1133</v>
      </c>
      <c r="B179" s="2" t="s">
        <v>1134</v>
      </c>
      <c r="C179" s="5">
        <v>19201800604</v>
      </c>
      <c r="D179" s="619">
        <v>2.29</v>
      </c>
      <c r="E179" s="226" t="s">
        <v>420</v>
      </c>
      <c r="F179" s="2"/>
    </row>
    <row r="180" spans="1:6" ht="15.75" x14ac:dyDescent="0.25">
      <c r="A180" s="616" t="s">
        <v>1133</v>
      </c>
      <c r="B180" s="2" t="s">
        <v>1134</v>
      </c>
      <c r="C180" s="5">
        <v>19201800609</v>
      </c>
      <c r="D180" s="619">
        <v>2.23</v>
      </c>
      <c r="E180" s="226" t="s">
        <v>420</v>
      </c>
      <c r="F180" s="2"/>
    </row>
    <row r="181" spans="1:6" ht="15.75" x14ac:dyDescent="0.25">
      <c r="A181" s="616" t="s">
        <v>1133</v>
      </c>
      <c r="B181" s="2" t="s">
        <v>1134</v>
      </c>
      <c r="C181" s="5">
        <v>19201800570</v>
      </c>
      <c r="D181" s="619">
        <v>2.12</v>
      </c>
      <c r="E181" s="226" t="s">
        <v>420</v>
      </c>
      <c r="F181" s="2"/>
    </row>
    <row r="182" spans="1:6" ht="15.75" x14ac:dyDescent="0.25">
      <c r="A182" s="616" t="s">
        <v>1133</v>
      </c>
      <c r="B182" s="2" t="s">
        <v>1134</v>
      </c>
      <c r="C182" s="5">
        <v>19201800624</v>
      </c>
      <c r="D182" s="2" t="s">
        <v>967</v>
      </c>
      <c r="E182" s="383" t="s">
        <v>420</v>
      </c>
      <c r="F182" s="2"/>
    </row>
    <row r="183" spans="1:6" x14ac:dyDescent="0.25">
      <c r="A183" s="2" t="s">
        <v>1147</v>
      </c>
      <c r="B183" s="632" t="s">
        <v>1146</v>
      </c>
      <c r="C183" s="5">
        <v>19201800800</v>
      </c>
      <c r="D183" s="2">
        <v>3.27</v>
      </c>
      <c r="E183" s="225" t="s">
        <v>419</v>
      </c>
      <c r="F183" s="2"/>
    </row>
    <row r="184" spans="1:6" x14ac:dyDescent="0.25">
      <c r="A184" s="2" t="s">
        <v>1147</v>
      </c>
      <c r="B184" s="632" t="s">
        <v>1146</v>
      </c>
      <c r="C184" s="5">
        <v>19201800802</v>
      </c>
      <c r="D184" s="2">
        <v>3.2</v>
      </c>
      <c r="E184" s="225" t="s">
        <v>419</v>
      </c>
      <c r="F184" s="2"/>
    </row>
    <row r="185" spans="1:6" x14ac:dyDescent="0.25">
      <c r="A185" s="2" t="s">
        <v>1147</v>
      </c>
      <c r="B185" s="632" t="s">
        <v>1146</v>
      </c>
      <c r="C185" s="5">
        <v>19201800739</v>
      </c>
      <c r="D185" s="2">
        <v>3.17</v>
      </c>
      <c r="E185" s="225" t="s">
        <v>419</v>
      </c>
      <c r="F185" s="2"/>
    </row>
    <row r="186" spans="1:6" x14ac:dyDescent="0.25">
      <c r="A186" s="2" t="s">
        <v>1147</v>
      </c>
      <c r="B186" s="632" t="s">
        <v>1146</v>
      </c>
      <c r="C186" s="5">
        <v>19201800771</v>
      </c>
      <c r="D186" s="2">
        <v>3.1</v>
      </c>
      <c r="E186" s="225" t="s">
        <v>419</v>
      </c>
      <c r="F186" s="2"/>
    </row>
    <row r="187" spans="1:6" x14ac:dyDescent="0.25">
      <c r="A187" s="2" t="s">
        <v>1147</v>
      </c>
      <c r="B187" s="632" t="s">
        <v>1146</v>
      </c>
      <c r="C187" s="5">
        <v>19201800797</v>
      </c>
      <c r="D187" s="2">
        <v>3.02</v>
      </c>
      <c r="E187" s="225" t="s">
        <v>419</v>
      </c>
      <c r="F187" s="2"/>
    </row>
    <row r="188" spans="1:6" ht="15.75" x14ac:dyDescent="0.25">
      <c r="A188" s="633" t="s">
        <v>1147</v>
      </c>
      <c r="B188" s="632" t="s">
        <v>1146</v>
      </c>
      <c r="C188" s="5">
        <v>19201800750</v>
      </c>
      <c r="D188" s="2">
        <v>3.01</v>
      </c>
      <c r="E188" s="225" t="s">
        <v>419</v>
      </c>
      <c r="F188" s="2"/>
    </row>
    <row r="189" spans="1:6" x14ac:dyDescent="0.25">
      <c r="A189" s="2" t="s">
        <v>1147</v>
      </c>
      <c r="B189" s="632" t="s">
        <v>1146</v>
      </c>
      <c r="C189" s="5">
        <v>19201800801</v>
      </c>
      <c r="D189" s="2">
        <v>2.85</v>
      </c>
      <c r="E189" s="225" t="s">
        <v>419</v>
      </c>
      <c r="F189" s="2"/>
    </row>
    <row r="190" spans="1:6" x14ac:dyDescent="0.25">
      <c r="A190" s="2" t="s">
        <v>1147</v>
      </c>
      <c r="B190" s="632" t="s">
        <v>1146</v>
      </c>
      <c r="C190" s="5">
        <v>19201800729</v>
      </c>
      <c r="D190" s="2">
        <v>2.78</v>
      </c>
      <c r="E190" s="225" t="s">
        <v>419</v>
      </c>
      <c r="F190" s="2"/>
    </row>
    <row r="191" spans="1:6" x14ac:dyDescent="0.25">
      <c r="A191" s="2" t="s">
        <v>1147</v>
      </c>
      <c r="B191" s="632" t="s">
        <v>1146</v>
      </c>
      <c r="C191" s="5">
        <v>19201800749</v>
      </c>
      <c r="D191" s="2">
        <v>2.77</v>
      </c>
      <c r="E191" s="225" t="s">
        <v>419</v>
      </c>
      <c r="F191" s="2"/>
    </row>
    <row r="192" spans="1:6" x14ac:dyDescent="0.25">
      <c r="A192" s="2" t="s">
        <v>1147</v>
      </c>
      <c r="B192" s="632" t="s">
        <v>1146</v>
      </c>
      <c r="C192" s="5">
        <v>19201800759</v>
      </c>
      <c r="D192" s="2">
        <v>2.77</v>
      </c>
      <c r="E192" s="225" t="s">
        <v>419</v>
      </c>
      <c r="F192" s="2"/>
    </row>
    <row r="193" spans="1:6" x14ac:dyDescent="0.25">
      <c r="A193" s="2" t="s">
        <v>1147</v>
      </c>
      <c r="B193" s="632" t="s">
        <v>1146</v>
      </c>
      <c r="C193" s="5">
        <v>19201800796</v>
      </c>
      <c r="D193" s="2">
        <v>2.77</v>
      </c>
      <c r="E193" s="225" t="s">
        <v>419</v>
      </c>
      <c r="F193" s="2"/>
    </row>
    <row r="194" spans="1:6" x14ac:dyDescent="0.25">
      <c r="A194" s="2" t="s">
        <v>1147</v>
      </c>
      <c r="B194" s="632" t="s">
        <v>1146</v>
      </c>
      <c r="C194" s="5">
        <v>19201800721</v>
      </c>
      <c r="D194" s="2">
        <v>2.75</v>
      </c>
      <c r="E194" s="225" t="s">
        <v>419</v>
      </c>
      <c r="F194" s="2"/>
    </row>
    <row r="195" spans="1:6" x14ac:dyDescent="0.25">
      <c r="A195" s="2" t="s">
        <v>1147</v>
      </c>
      <c r="B195" s="632" t="s">
        <v>1146</v>
      </c>
      <c r="C195" s="5">
        <v>19201800768</v>
      </c>
      <c r="D195" s="2">
        <v>2.73</v>
      </c>
      <c r="E195" s="225" t="s">
        <v>419</v>
      </c>
      <c r="F195" s="2"/>
    </row>
    <row r="196" spans="1:6" x14ac:dyDescent="0.25">
      <c r="A196" s="2" t="s">
        <v>1147</v>
      </c>
      <c r="B196" s="632" t="s">
        <v>1146</v>
      </c>
      <c r="C196" s="5">
        <v>19201800799</v>
      </c>
      <c r="D196" s="2">
        <v>2.72</v>
      </c>
      <c r="E196" s="226" t="s">
        <v>420</v>
      </c>
      <c r="F196" s="2"/>
    </row>
    <row r="197" spans="1:6" x14ac:dyDescent="0.25">
      <c r="A197" s="2" t="s">
        <v>1147</v>
      </c>
      <c r="B197" s="632" t="s">
        <v>1146</v>
      </c>
      <c r="C197" s="5">
        <v>19201800751</v>
      </c>
      <c r="D197" s="2">
        <v>2.7</v>
      </c>
      <c r="E197" s="226" t="s">
        <v>420</v>
      </c>
      <c r="F197" s="2"/>
    </row>
    <row r="198" spans="1:6" x14ac:dyDescent="0.25">
      <c r="A198" s="2" t="s">
        <v>1147</v>
      </c>
      <c r="B198" s="632" t="s">
        <v>1146</v>
      </c>
      <c r="C198" s="5">
        <v>19201800798</v>
      </c>
      <c r="D198" s="2">
        <v>2.66</v>
      </c>
      <c r="E198" s="226" t="s">
        <v>420</v>
      </c>
      <c r="F198" s="2"/>
    </row>
    <row r="199" spans="1:6" x14ac:dyDescent="0.25">
      <c r="A199" s="2" t="s">
        <v>1147</v>
      </c>
      <c r="B199" s="632" t="s">
        <v>1146</v>
      </c>
      <c r="C199" s="5">
        <v>19201800793</v>
      </c>
      <c r="D199" s="2">
        <v>2.6</v>
      </c>
      <c r="E199" s="226" t="s">
        <v>420</v>
      </c>
      <c r="F199" s="2"/>
    </row>
    <row r="200" spans="1:6" ht="15.75" x14ac:dyDescent="0.25">
      <c r="A200" s="633" t="s">
        <v>1147</v>
      </c>
      <c r="B200" s="632" t="s">
        <v>1146</v>
      </c>
      <c r="C200" s="5">
        <v>19201800786</v>
      </c>
      <c r="D200" s="2">
        <v>2.59</v>
      </c>
      <c r="E200" s="226" t="s">
        <v>420</v>
      </c>
      <c r="F200" s="2"/>
    </row>
    <row r="201" spans="1:6" x14ac:dyDescent="0.25">
      <c r="A201" s="2" t="s">
        <v>1147</v>
      </c>
      <c r="B201" s="632" t="s">
        <v>1146</v>
      </c>
      <c r="C201" s="5">
        <v>19201800804</v>
      </c>
      <c r="D201" s="2">
        <v>2.4900000000000002</v>
      </c>
      <c r="E201" s="226" t="s">
        <v>420</v>
      </c>
      <c r="F201" s="2"/>
    </row>
    <row r="202" spans="1:6" x14ac:dyDescent="0.25">
      <c r="A202" s="2" t="s">
        <v>1147</v>
      </c>
      <c r="B202" s="632" t="s">
        <v>1146</v>
      </c>
      <c r="C202" s="5">
        <v>19201800794</v>
      </c>
      <c r="D202" s="2">
        <v>2.4700000000000002</v>
      </c>
      <c r="E202" s="226" t="s">
        <v>420</v>
      </c>
      <c r="F202" s="2"/>
    </row>
    <row r="203" spans="1:6" x14ac:dyDescent="0.25">
      <c r="A203" s="26" t="s">
        <v>1197</v>
      </c>
      <c r="B203" s="11" t="s">
        <v>1146</v>
      </c>
      <c r="C203" s="2">
        <v>19201900538</v>
      </c>
      <c r="D203" s="700">
        <v>3.32</v>
      </c>
      <c r="E203" s="301" t="s">
        <v>419</v>
      </c>
      <c r="F203" s="2"/>
    </row>
    <row r="204" spans="1:6" x14ac:dyDescent="0.25">
      <c r="A204" s="26" t="s">
        <v>1197</v>
      </c>
      <c r="B204" s="11" t="s">
        <v>1146</v>
      </c>
      <c r="C204" s="2">
        <v>19201900563</v>
      </c>
      <c r="D204" s="700">
        <v>3.28</v>
      </c>
      <c r="E204" s="301" t="s">
        <v>419</v>
      </c>
      <c r="F204" s="2"/>
    </row>
    <row r="205" spans="1:6" x14ac:dyDescent="0.25">
      <c r="A205" s="26" t="s">
        <v>1197</v>
      </c>
      <c r="B205" s="11" t="s">
        <v>1146</v>
      </c>
      <c r="C205" s="2">
        <v>19201900541</v>
      </c>
      <c r="D205" s="17">
        <v>3.24</v>
      </c>
      <c r="E205" s="301" t="s">
        <v>419</v>
      </c>
      <c r="F205" s="2"/>
    </row>
    <row r="206" spans="1:6" x14ac:dyDescent="0.25">
      <c r="A206" s="26" t="s">
        <v>1197</v>
      </c>
      <c r="B206" s="11" t="s">
        <v>1146</v>
      </c>
      <c r="C206" s="2">
        <v>19201900535</v>
      </c>
      <c r="D206" s="17">
        <v>3.06</v>
      </c>
      <c r="E206" s="301" t="s">
        <v>419</v>
      </c>
      <c r="F206" s="2"/>
    </row>
    <row r="207" spans="1:6" x14ac:dyDescent="0.25">
      <c r="A207" s="26" t="s">
        <v>1197</v>
      </c>
      <c r="B207" s="11" t="s">
        <v>1146</v>
      </c>
      <c r="C207" s="2">
        <v>19201900557</v>
      </c>
      <c r="D207" s="17">
        <v>2.95</v>
      </c>
      <c r="E207" s="301" t="s">
        <v>419</v>
      </c>
      <c r="F207" s="2"/>
    </row>
    <row r="208" spans="1:6" x14ac:dyDescent="0.25">
      <c r="A208" s="26" t="s">
        <v>1197</v>
      </c>
      <c r="B208" s="11" t="s">
        <v>1146</v>
      </c>
      <c r="C208" s="2">
        <v>19201900559</v>
      </c>
      <c r="D208" s="17">
        <v>2.91</v>
      </c>
      <c r="E208" s="301" t="s">
        <v>419</v>
      </c>
      <c r="F208" s="2"/>
    </row>
    <row r="209" spans="1:6" x14ac:dyDescent="0.25">
      <c r="A209" s="26" t="s">
        <v>1197</v>
      </c>
      <c r="B209" s="11" t="s">
        <v>1146</v>
      </c>
      <c r="C209" s="2">
        <v>19201900533</v>
      </c>
      <c r="D209" s="17">
        <v>2.85</v>
      </c>
      <c r="E209" s="301" t="s">
        <v>419</v>
      </c>
      <c r="F209" s="2"/>
    </row>
    <row r="210" spans="1:6" x14ac:dyDescent="0.25">
      <c r="A210" s="26" t="s">
        <v>1197</v>
      </c>
      <c r="B210" s="11" t="s">
        <v>1146</v>
      </c>
      <c r="C210" s="2">
        <v>19201900576</v>
      </c>
      <c r="D210" s="17">
        <v>2.84</v>
      </c>
      <c r="E210" s="301" t="s">
        <v>419</v>
      </c>
      <c r="F210" s="2"/>
    </row>
    <row r="211" spans="1:6" x14ac:dyDescent="0.25">
      <c r="A211" s="26" t="s">
        <v>1197</v>
      </c>
      <c r="B211" s="11" t="s">
        <v>1146</v>
      </c>
      <c r="C211" s="2">
        <v>19201900549</v>
      </c>
      <c r="D211" s="2">
        <v>2.76</v>
      </c>
      <c r="E211" s="226" t="s">
        <v>420</v>
      </c>
      <c r="F211" s="2"/>
    </row>
    <row r="212" spans="1:6" x14ac:dyDescent="0.25">
      <c r="A212" s="26" t="s">
        <v>1197</v>
      </c>
      <c r="B212" s="11" t="s">
        <v>1146</v>
      </c>
      <c r="C212" s="2">
        <v>19201900564</v>
      </c>
      <c r="D212" s="2">
        <v>2.75</v>
      </c>
      <c r="E212" s="226" t="s">
        <v>420</v>
      </c>
      <c r="F212" s="2"/>
    </row>
    <row r="213" spans="1:6" x14ac:dyDescent="0.25">
      <c r="A213" s="26" t="s">
        <v>1197</v>
      </c>
      <c r="B213" s="11" t="s">
        <v>1146</v>
      </c>
      <c r="C213" s="2">
        <v>19201900556</v>
      </c>
      <c r="D213" s="2">
        <v>2.74</v>
      </c>
      <c r="E213" s="226" t="s">
        <v>420</v>
      </c>
      <c r="F213" s="2"/>
    </row>
    <row r="214" spans="1:6" x14ac:dyDescent="0.25">
      <c r="A214" s="26" t="s">
        <v>1197</v>
      </c>
      <c r="B214" s="11" t="s">
        <v>1146</v>
      </c>
      <c r="C214" s="2">
        <v>19201900578</v>
      </c>
      <c r="D214" s="2">
        <v>2.74</v>
      </c>
      <c r="E214" s="226" t="s">
        <v>420</v>
      </c>
      <c r="F214" s="2"/>
    </row>
    <row r="215" spans="1:6" x14ac:dyDescent="0.25">
      <c r="A215" s="26" t="s">
        <v>1197</v>
      </c>
      <c r="B215" s="11" t="s">
        <v>1146</v>
      </c>
      <c r="C215" s="2">
        <v>19201900555</v>
      </c>
      <c r="D215" s="2">
        <v>2.65</v>
      </c>
      <c r="E215" s="226" t="s">
        <v>420</v>
      </c>
      <c r="F215" s="2"/>
    </row>
    <row r="216" spans="1:6" x14ac:dyDescent="0.25">
      <c r="A216" s="26" t="s">
        <v>1197</v>
      </c>
      <c r="B216" s="11" t="s">
        <v>1146</v>
      </c>
      <c r="C216" s="2">
        <v>19201900552</v>
      </c>
      <c r="D216" s="2">
        <v>2.64</v>
      </c>
      <c r="E216" s="226" t="s">
        <v>420</v>
      </c>
      <c r="F216" s="2"/>
    </row>
    <row r="217" spans="1:6" x14ac:dyDescent="0.25">
      <c r="A217" s="26" t="s">
        <v>1197</v>
      </c>
      <c r="B217" s="11" t="s">
        <v>1146</v>
      </c>
      <c r="C217" s="2">
        <v>19201900551</v>
      </c>
      <c r="D217" s="2">
        <v>2.63</v>
      </c>
      <c r="E217" s="226" t="s">
        <v>420</v>
      </c>
      <c r="F217" s="2"/>
    </row>
    <row r="218" spans="1:6" x14ac:dyDescent="0.25">
      <c r="A218" s="26" t="s">
        <v>1197</v>
      </c>
      <c r="B218" s="11" t="s">
        <v>1146</v>
      </c>
      <c r="C218" s="2">
        <v>19201900567</v>
      </c>
      <c r="D218" s="2">
        <v>2.5499999999999998</v>
      </c>
      <c r="E218" s="226" t="s">
        <v>420</v>
      </c>
      <c r="F218" s="2"/>
    </row>
    <row r="219" spans="1:6" x14ac:dyDescent="0.25">
      <c r="A219" s="26" t="s">
        <v>1197</v>
      </c>
      <c r="B219" s="11" t="s">
        <v>1146</v>
      </c>
      <c r="C219" s="2">
        <v>19201900506</v>
      </c>
      <c r="D219" s="2">
        <v>2.5299999999999998</v>
      </c>
      <c r="E219" s="226" t="s">
        <v>420</v>
      </c>
      <c r="F219" s="2"/>
    </row>
    <row r="220" spans="1:6" x14ac:dyDescent="0.25">
      <c r="A220" s="26" t="s">
        <v>1197</v>
      </c>
      <c r="B220" s="11" t="s">
        <v>1146</v>
      </c>
      <c r="C220" s="2">
        <v>19201900573</v>
      </c>
      <c r="D220" s="2">
        <v>2.5099999999999998</v>
      </c>
      <c r="E220" s="226" t="s">
        <v>420</v>
      </c>
      <c r="F220" s="2"/>
    </row>
    <row r="221" spans="1:6" x14ac:dyDescent="0.25">
      <c r="A221" s="26" t="s">
        <v>1197</v>
      </c>
      <c r="B221" s="11" t="s">
        <v>1146</v>
      </c>
      <c r="C221" s="2">
        <v>19201900568</v>
      </c>
      <c r="D221" s="2">
        <v>2.5</v>
      </c>
      <c r="E221" s="226" t="s">
        <v>420</v>
      </c>
      <c r="F221" s="2"/>
    </row>
    <row r="222" spans="1:6" x14ac:dyDescent="0.25">
      <c r="A222" s="26" t="s">
        <v>1197</v>
      </c>
      <c r="B222" s="11" t="s">
        <v>1146</v>
      </c>
      <c r="C222" s="2">
        <v>19201900569</v>
      </c>
      <c r="D222" s="2">
        <v>2.5</v>
      </c>
      <c r="E222" s="226" t="s">
        <v>420</v>
      </c>
      <c r="F222" s="2"/>
    </row>
    <row r="223" spans="1:6" x14ac:dyDescent="0.25">
      <c r="A223" s="26" t="s">
        <v>1197</v>
      </c>
      <c r="B223" s="11" t="s">
        <v>1146</v>
      </c>
      <c r="C223" s="2">
        <v>19201900562</v>
      </c>
      <c r="D223" s="2">
        <v>2.4300000000000002</v>
      </c>
      <c r="E223" s="226" t="s">
        <v>420</v>
      </c>
      <c r="F223" s="2"/>
    </row>
    <row r="224" spans="1:6" x14ac:dyDescent="0.25">
      <c r="A224" s="26" t="s">
        <v>1197</v>
      </c>
      <c r="B224" s="11" t="s">
        <v>1146</v>
      </c>
      <c r="C224" s="2">
        <v>19201900531</v>
      </c>
      <c r="D224" s="2">
        <v>2.39</v>
      </c>
      <c r="E224" s="226" t="s">
        <v>420</v>
      </c>
      <c r="F224" s="2"/>
    </row>
    <row r="225" spans="1:6" x14ac:dyDescent="0.25">
      <c r="A225" s="26" t="s">
        <v>1197</v>
      </c>
      <c r="B225" s="11" t="s">
        <v>1146</v>
      </c>
      <c r="C225" s="2">
        <v>19201900577</v>
      </c>
      <c r="D225" s="2">
        <v>2.37</v>
      </c>
      <c r="E225" s="226" t="s">
        <v>420</v>
      </c>
      <c r="F225" s="2"/>
    </row>
    <row r="226" spans="1:6" x14ac:dyDescent="0.25">
      <c r="A226" s="26" t="s">
        <v>1197</v>
      </c>
      <c r="B226" s="11" t="s">
        <v>1146</v>
      </c>
      <c r="C226" s="2">
        <v>19201900574</v>
      </c>
      <c r="D226" s="2">
        <v>2.34</v>
      </c>
      <c r="E226" s="226" t="s">
        <v>420</v>
      </c>
      <c r="F226" s="2"/>
    </row>
    <row r="227" spans="1:6" x14ac:dyDescent="0.25">
      <c r="A227" s="26" t="s">
        <v>1197</v>
      </c>
      <c r="B227" s="11" t="s">
        <v>1146</v>
      </c>
      <c r="C227" s="2">
        <v>19201900565</v>
      </c>
      <c r="D227" s="2">
        <v>2.31</v>
      </c>
      <c r="E227" s="226" t="s">
        <v>420</v>
      </c>
      <c r="F227" s="2"/>
    </row>
    <row r="228" spans="1:6" x14ac:dyDescent="0.25">
      <c r="A228" s="26" t="s">
        <v>1197</v>
      </c>
      <c r="B228" s="11" t="s">
        <v>1146</v>
      </c>
      <c r="C228" s="2">
        <v>19201900575</v>
      </c>
      <c r="D228" s="2">
        <v>2.31</v>
      </c>
      <c r="E228" s="226" t="s">
        <v>420</v>
      </c>
      <c r="F228" s="2"/>
    </row>
    <row r="229" spans="1:6" x14ac:dyDescent="0.25">
      <c r="A229" s="26" t="s">
        <v>1197</v>
      </c>
      <c r="B229" s="11" t="s">
        <v>1146</v>
      </c>
      <c r="C229" s="2">
        <v>19201900550</v>
      </c>
      <c r="D229" s="2">
        <v>2.15</v>
      </c>
      <c r="E229" s="226" t="s">
        <v>420</v>
      </c>
      <c r="F229" s="2"/>
    </row>
    <row r="230" spans="1:6" x14ac:dyDescent="0.25">
      <c r="A230" s="26" t="s">
        <v>1197</v>
      </c>
      <c r="B230" s="11" t="s">
        <v>1146</v>
      </c>
      <c r="C230" s="2">
        <v>19201900570</v>
      </c>
      <c r="D230" s="2">
        <v>1.99</v>
      </c>
      <c r="E230" s="226" t="s">
        <v>420</v>
      </c>
      <c r="F230" s="2"/>
    </row>
    <row r="231" spans="1:6" x14ac:dyDescent="0.25">
      <c r="A231" s="26" t="s">
        <v>1197</v>
      </c>
      <c r="B231" s="11" t="s">
        <v>1146</v>
      </c>
      <c r="C231" s="2">
        <v>19201900566</v>
      </c>
      <c r="D231" s="2" t="s">
        <v>967</v>
      </c>
      <c r="E231" s="226" t="s">
        <v>420</v>
      </c>
      <c r="F231" s="2"/>
    </row>
    <row r="232" spans="1:6" x14ac:dyDescent="0.25">
      <c r="A232" s="26" t="s">
        <v>1197</v>
      </c>
      <c r="B232" s="11" t="s">
        <v>1146</v>
      </c>
      <c r="C232" s="2">
        <v>19201900571</v>
      </c>
      <c r="D232" s="2" t="s">
        <v>967</v>
      </c>
      <c r="E232" s="226" t="s">
        <v>420</v>
      </c>
      <c r="F232" s="2"/>
    </row>
    <row r="233" spans="1:6" x14ac:dyDescent="0.25">
      <c r="A233" s="655" t="s">
        <v>1200</v>
      </c>
      <c r="B233" s="629" t="s">
        <v>1134</v>
      </c>
      <c r="C233" s="682">
        <v>19201900275</v>
      </c>
      <c r="D233" s="702">
        <v>3.41</v>
      </c>
      <c r="E233" s="701" t="s">
        <v>419</v>
      </c>
      <c r="F233" s="629"/>
    </row>
    <row r="234" spans="1:6" x14ac:dyDescent="0.25">
      <c r="A234" s="655" t="s">
        <v>1200</v>
      </c>
      <c r="B234" s="629" t="s">
        <v>1134</v>
      </c>
      <c r="C234" s="682">
        <v>19201900280</v>
      </c>
      <c r="D234" s="702">
        <v>3.22</v>
      </c>
      <c r="E234" s="701" t="s">
        <v>419</v>
      </c>
      <c r="F234" s="629"/>
    </row>
    <row r="235" spans="1:6" x14ac:dyDescent="0.25">
      <c r="A235" s="655" t="s">
        <v>1200</v>
      </c>
      <c r="B235" s="629" t="s">
        <v>1134</v>
      </c>
      <c r="C235" s="682">
        <v>19201900399</v>
      </c>
      <c r="D235" s="702">
        <v>3.08</v>
      </c>
      <c r="E235" s="701" t="s">
        <v>419</v>
      </c>
      <c r="F235" s="629"/>
    </row>
    <row r="236" spans="1:6" x14ac:dyDescent="0.25">
      <c r="A236" s="655" t="s">
        <v>1200</v>
      </c>
      <c r="B236" s="629" t="s">
        <v>1134</v>
      </c>
      <c r="C236" s="682">
        <v>19201900242</v>
      </c>
      <c r="D236" s="702">
        <v>3.07</v>
      </c>
      <c r="E236" s="701" t="s">
        <v>419</v>
      </c>
      <c r="F236" s="629"/>
    </row>
    <row r="237" spans="1:6" x14ac:dyDescent="0.25">
      <c r="A237" s="655" t="s">
        <v>1200</v>
      </c>
      <c r="B237" s="629" t="s">
        <v>1134</v>
      </c>
      <c r="C237" s="682">
        <v>19201900261</v>
      </c>
      <c r="D237" s="702">
        <v>3.06</v>
      </c>
      <c r="E237" s="701" t="s">
        <v>419</v>
      </c>
      <c r="F237" s="629"/>
    </row>
    <row r="238" spans="1:6" x14ac:dyDescent="0.25">
      <c r="A238" s="655" t="s">
        <v>1200</v>
      </c>
      <c r="B238" s="629" t="s">
        <v>1134</v>
      </c>
      <c r="C238" s="682">
        <v>19201900397</v>
      </c>
      <c r="D238" s="702">
        <v>3.01</v>
      </c>
      <c r="E238" s="701" t="s">
        <v>419</v>
      </c>
      <c r="F238" s="629"/>
    </row>
    <row r="239" spans="1:6" x14ac:dyDescent="0.25">
      <c r="A239" s="655" t="s">
        <v>1200</v>
      </c>
      <c r="B239" s="629" t="s">
        <v>1134</v>
      </c>
      <c r="C239" s="682">
        <v>19201900281</v>
      </c>
      <c r="D239" s="702">
        <v>3</v>
      </c>
      <c r="E239" s="701" t="s">
        <v>419</v>
      </c>
      <c r="F239" s="629"/>
    </row>
    <row r="240" spans="1:6" x14ac:dyDescent="0.25">
      <c r="A240" s="655" t="s">
        <v>1200</v>
      </c>
      <c r="B240" s="629" t="s">
        <v>1134</v>
      </c>
      <c r="C240" s="682">
        <v>19201900259</v>
      </c>
      <c r="D240" s="702">
        <v>2.95</v>
      </c>
      <c r="E240" s="701" t="s">
        <v>419</v>
      </c>
      <c r="F240" s="629"/>
    </row>
    <row r="241" spans="1:6" x14ac:dyDescent="0.25">
      <c r="A241" s="655" t="s">
        <v>1200</v>
      </c>
      <c r="B241" s="629" t="s">
        <v>1134</v>
      </c>
      <c r="C241" s="682">
        <v>19201900269</v>
      </c>
      <c r="D241" s="702">
        <v>2.95</v>
      </c>
      <c r="E241" s="701" t="s">
        <v>419</v>
      </c>
      <c r="F241" s="629"/>
    </row>
    <row r="242" spans="1:6" x14ac:dyDescent="0.25">
      <c r="A242" s="655" t="s">
        <v>1200</v>
      </c>
      <c r="B242" s="629" t="s">
        <v>1134</v>
      </c>
      <c r="C242" s="682">
        <v>19201900288</v>
      </c>
      <c r="D242" s="702">
        <v>2.92</v>
      </c>
      <c r="E242" s="701" t="s">
        <v>419</v>
      </c>
      <c r="F242" s="629"/>
    </row>
    <row r="243" spans="1:6" x14ac:dyDescent="0.25">
      <c r="A243" s="655" t="s">
        <v>1200</v>
      </c>
      <c r="B243" s="629" t="s">
        <v>1134</v>
      </c>
      <c r="C243" s="682">
        <v>19201900255</v>
      </c>
      <c r="D243" s="702">
        <v>2.85</v>
      </c>
      <c r="E243" s="701" t="s">
        <v>419</v>
      </c>
      <c r="F243" s="629"/>
    </row>
    <row r="244" spans="1:6" x14ac:dyDescent="0.25">
      <c r="A244" s="655" t="s">
        <v>1200</v>
      </c>
      <c r="B244" s="629" t="s">
        <v>1134</v>
      </c>
      <c r="C244" s="682">
        <v>19201900278</v>
      </c>
      <c r="D244" s="702">
        <v>2.84</v>
      </c>
      <c r="E244" s="701" t="s">
        <v>419</v>
      </c>
      <c r="F244" s="629"/>
    </row>
    <row r="245" spans="1:6" x14ac:dyDescent="0.25">
      <c r="A245" s="655" t="s">
        <v>1200</v>
      </c>
      <c r="B245" s="629" t="s">
        <v>1134</v>
      </c>
      <c r="C245" s="682">
        <v>19201900262</v>
      </c>
      <c r="D245" s="702">
        <v>2.81</v>
      </c>
      <c r="E245" s="701" t="s">
        <v>419</v>
      </c>
      <c r="F245" s="629"/>
    </row>
    <row r="246" spans="1:6" x14ac:dyDescent="0.25">
      <c r="A246" s="655" t="s">
        <v>1200</v>
      </c>
      <c r="B246" s="629" t="s">
        <v>1134</v>
      </c>
      <c r="C246" s="682">
        <v>19201900279</v>
      </c>
      <c r="D246" s="702">
        <v>2.78</v>
      </c>
      <c r="E246" s="701" t="s">
        <v>419</v>
      </c>
      <c r="F246" s="629"/>
    </row>
    <row r="247" spans="1:6" x14ac:dyDescent="0.25">
      <c r="A247" s="655" t="s">
        <v>1200</v>
      </c>
      <c r="B247" s="629" t="s">
        <v>1134</v>
      </c>
      <c r="C247" s="682">
        <v>19201900274</v>
      </c>
      <c r="D247" s="678">
        <v>2.78</v>
      </c>
      <c r="E247" s="683" t="s">
        <v>420</v>
      </c>
      <c r="F247" s="2"/>
    </row>
    <row r="248" spans="1:6" x14ac:dyDescent="0.25">
      <c r="A248" s="655" t="s">
        <v>1200</v>
      </c>
      <c r="B248" s="629" t="s">
        <v>1134</v>
      </c>
      <c r="C248" s="682">
        <v>19201900400</v>
      </c>
      <c r="D248" s="678">
        <v>2.78</v>
      </c>
      <c r="E248" s="683" t="s">
        <v>420</v>
      </c>
      <c r="F248" s="2"/>
    </row>
    <row r="249" spans="1:6" x14ac:dyDescent="0.25">
      <c r="A249" s="655" t="s">
        <v>1200</v>
      </c>
      <c r="B249" s="629" t="s">
        <v>1134</v>
      </c>
      <c r="C249" s="682">
        <v>19201900285</v>
      </c>
      <c r="D249" s="678">
        <v>2.73</v>
      </c>
      <c r="E249" s="683" t="s">
        <v>420</v>
      </c>
      <c r="F249" s="2"/>
    </row>
    <row r="250" spans="1:6" x14ac:dyDescent="0.25">
      <c r="A250" s="655" t="s">
        <v>1200</v>
      </c>
      <c r="B250" s="629" t="s">
        <v>1134</v>
      </c>
      <c r="C250" s="682">
        <v>19201900292</v>
      </c>
      <c r="D250" s="678">
        <v>2.68</v>
      </c>
      <c r="E250" s="683" t="s">
        <v>420</v>
      </c>
      <c r="F250" s="2"/>
    </row>
    <row r="251" spans="1:6" x14ac:dyDescent="0.25">
      <c r="A251" s="655" t="s">
        <v>1200</v>
      </c>
      <c r="B251" s="629" t="s">
        <v>1134</v>
      </c>
      <c r="C251" s="682">
        <v>19201900402</v>
      </c>
      <c r="D251" s="678">
        <v>2.66</v>
      </c>
      <c r="E251" s="683" t="s">
        <v>420</v>
      </c>
      <c r="F251" s="2"/>
    </row>
    <row r="252" spans="1:6" x14ac:dyDescent="0.25">
      <c r="A252" s="655" t="s">
        <v>1200</v>
      </c>
      <c r="B252" s="629" t="s">
        <v>1134</v>
      </c>
      <c r="C252" s="682">
        <v>19201900265</v>
      </c>
      <c r="D252" s="678">
        <v>2.62</v>
      </c>
      <c r="E252" s="683" t="s">
        <v>420</v>
      </c>
      <c r="F252" s="2"/>
    </row>
    <row r="253" spans="1:6" x14ac:dyDescent="0.25">
      <c r="A253" s="655" t="s">
        <v>1200</v>
      </c>
      <c r="B253" s="629" t="s">
        <v>1134</v>
      </c>
      <c r="C253" s="682">
        <v>19201900282</v>
      </c>
      <c r="D253" s="678">
        <v>2.61</v>
      </c>
      <c r="E253" s="683" t="s">
        <v>420</v>
      </c>
      <c r="F253" s="2"/>
    </row>
    <row r="254" spans="1:6" x14ac:dyDescent="0.25">
      <c r="A254" s="655" t="s">
        <v>1200</v>
      </c>
      <c r="B254" s="629" t="s">
        <v>1134</v>
      </c>
      <c r="C254" s="682">
        <v>19201900283</v>
      </c>
      <c r="D254" s="678">
        <v>2.58</v>
      </c>
      <c r="E254" s="683" t="s">
        <v>420</v>
      </c>
      <c r="F254" s="2"/>
    </row>
    <row r="255" spans="1:6" x14ac:dyDescent="0.25">
      <c r="A255" s="655" t="s">
        <v>1200</v>
      </c>
      <c r="B255" s="629" t="s">
        <v>1134</v>
      </c>
      <c r="C255" s="682">
        <v>19201900290</v>
      </c>
      <c r="D255" s="678">
        <v>2.57</v>
      </c>
      <c r="E255" s="683" t="s">
        <v>420</v>
      </c>
      <c r="F255" s="2"/>
    </row>
    <row r="256" spans="1:6" x14ac:dyDescent="0.25">
      <c r="A256" s="655" t="s">
        <v>1200</v>
      </c>
      <c r="B256" s="629" t="s">
        <v>1134</v>
      </c>
      <c r="C256" s="682">
        <v>19201900263</v>
      </c>
      <c r="D256" s="678">
        <v>2.52</v>
      </c>
      <c r="E256" s="683" t="s">
        <v>420</v>
      </c>
      <c r="F256" s="2"/>
    </row>
    <row r="257" spans="1:7" x14ac:dyDescent="0.25">
      <c r="A257" s="655" t="s">
        <v>1200</v>
      </c>
      <c r="B257" s="629" t="s">
        <v>1134</v>
      </c>
      <c r="C257" s="682">
        <v>19201900253</v>
      </c>
      <c r="D257" s="678">
        <v>2.4900000000000002</v>
      </c>
      <c r="E257" s="683" t="s">
        <v>420</v>
      </c>
      <c r="F257" s="2"/>
    </row>
    <row r="258" spans="1:7" x14ac:dyDescent="0.25">
      <c r="A258" s="655" t="s">
        <v>1200</v>
      </c>
      <c r="B258" s="629" t="s">
        <v>1134</v>
      </c>
      <c r="C258" s="682">
        <v>19201900250</v>
      </c>
      <c r="D258" s="678">
        <v>2.4700000000000002</v>
      </c>
      <c r="E258" s="683" t="s">
        <v>420</v>
      </c>
      <c r="F258" s="2"/>
    </row>
    <row r="259" spans="1:7" x14ac:dyDescent="0.25">
      <c r="A259" s="655" t="s">
        <v>1200</v>
      </c>
      <c r="B259" s="629" t="s">
        <v>1134</v>
      </c>
      <c r="C259" s="682">
        <v>19201900252</v>
      </c>
      <c r="D259" s="678">
        <v>2.4500000000000002</v>
      </c>
      <c r="E259" s="683" t="s">
        <v>420</v>
      </c>
      <c r="F259" s="2"/>
    </row>
    <row r="260" spans="1:7" x14ac:dyDescent="0.25">
      <c r="A260" s="655" t="s">
        <v>1200</v>
      </c>
      <c r="B260" s="629" t="s">
        <v>1134</v>
      </c>
      <c r="C260" s="682">
        <v>19201900251</v>
      </c>
      <c r="D260" s="678">
        <v>2.4300000000000002</v>
      </c>
      <c r="E260" s="683" t="s">
        <v>420</v>
      </c>
      <c r="F260" s="2"/>
    </row>
    <row r="261" spans="1:7" x14ac:dyDescent="0.25">
      <c r="A261" s="655" t="s">
        <v>1200</v>
      </c>
      <c r="B261" s="629" t="s">
        <v>1134</v>
      </c>
      <c r="C261" s="682">
        <v>19201900291</v>
      </c>
      <c r="D261" s="678">
        <v>2.39</v>
      </c>
      <c r="E261" s="683" t="s">
        <v>420</v>
      </c>
      <c r="F261" s="2"/>
    </row>
    <row r="262" spans="1:7" x14ac:dyDescent="0.25">
      <c r="A262" s="655" t="s">
        <v>1200</v>
      </c>
      <c r="B262" s="629" t="s">
        <v>1134</v>
      </c>
      <c r="C262" s="682">
        <v>19201900287</v>
      </c>
      <c r="D262" s="678">
        <v>2.36</v>
      </c>
      <c r="E262" s="683" t="s">
        <v>420</v>
      </c>
      <c r="F262" s="2"/>
    </row>
    <row r="263" spans="1:7" x14ac:dyDescent="0.25">
      <c r="A263" s="655" t="s">
        <v>1200</v>
      </c>
      <c r="B263" s="629" t="s">
        <v>1134</v>
      </c>
      <c r="C263" s="682">
        <v>19201900395</v>
      </c>
      <c r="D263" s="678">
        <v>2.2999999999999998</v>
      </c>
      <c r="E263" s="683" t="s">
        <v>420</v>
      </c>
      <c r="F263" s="2"/>
    </row>
    <row r="264" spans="1:7" x14ac:dyDescent="0.25">
      <c r="A264" s="655" t="s">
        <v>1200</v>
      </c>
      <c r="B264" s="629" t="s">
        <v>1134</v>
      </c>
      <c r="C264" s="682">
        <v>19201900396</v>
      </c>
      <c r="D264" s="678">
        <v>2.2999999999999998</v>
      </c>
      <c r="E264" s="683" t="s">
        <v>420</v>
      </c>
      <c r="F264" s="2"/>
    </row>
    <row r="265" spans="1:7" x14ac:dyDescent="0.25">
      <c r="A265" s="655" t="s">
        <v>1200</v>
      </c>
      <c r="B265" s="629" t="s">
        <v>1134</v>
      </c>
      <c r="C265" s="682">
        <v>19201900398</v>
      </c>
      <c r="D265" s="678">
        <v>2.23</v>
      </c>
      <c r="E265" s="683" t="s">
        <v>420</v>
      </c>
      <c r="F265" s="2"/>
    </row>
    <row r="266" spans="1:7" x14ac:dyDescent="0.25">
      <c r="A266" s="655" t="s">
        <v>1200</v>
      </c>
      <c r="B266" s="629" t="s">
        <v>1134</v>
      </c>
      <c r="C266" s="682">
        <v>19201900286</v>
      </c>
      <c r="D266" s="678">
        <v>2.1800000000000002</v>
      </c>
      <c r="E266" s="683" t="s">
        <v>420</v>
      </c>
      <c r="F266" s="2"/>
    </row>
    <row r="267" spans="1:7" x14ac:dyDescent="0.25">
      <c r="A267" s="655" t="s">
        <v>1200</v>
      </c>
      <c r="B267" s="629" t="s">
        <v>1134</v>
      </c>
      <c r="C267" s="682">
        <v>19201900243</v>
      </c>
      <c r="D267" s="678">
        <v>2.13</v>
      </c>
      <c r="E267" s="683" t="s">
        <v>420</v>
      </c>
      <c r="F267" s="2"/>
    </row>
    <row r="268" spans="1:7" x14ac:dyDescent="0.25">
      <c r="A268" s="655" t="s">
        <v>1263</v>
      </c>
      <c r="B268" s="11" t="s">
        <v>1146</v>
      </c>
      <c r="C268" s="2">
        <v>19202000725</v>
      </c>
      <c r="D268" s="2">
        <v>3.42</v>
      </c>
      <c r="E268" s="701" t="s">
        <v>419</v>
      </c>
      <c r="F268" s="2"/>
      <c r="G268" s="647"/>
    </row>
    <row r="269" spans="1:7" x14ac:dyDescent="0.25">
      <c r="A269" s="655" t="s">
        <v>1263</v>
      </c>
      <c r="B269" s="11" t="s">
        <v>1146</v>
      </c>
      <c r="C269" s="2">
        <v>19202000730</v>
      </c>
      <c r="D269" s="2">
        <v>3.22</v>
      </c>
      <c r="E269" s="701" t="s">
        <v>419</v>
      </c>
      <c r="F269" s="2"/>
      <c r="G269" s="647"/>
    </row>
    <row r="270" spans="1:7" x14ac:dyDescent="0.25">
      <c r="A270" s="655" t="s">
        <v>1263</v>
      </c>
      <c r="B270" s="11" t="s">
        <v>1146</v>
      </c>
      <c r="C270" s="2">
        <v>19202000729</v>
      </c>
      <c r="D270" s="2">
        <v>3.15</v>
      </c>
      <c r="E270" s="701" t="s">
        <v>419</v>
      </c>
      <c r="F270" s="2"/>
      <c r="G270" s="647"/>
    </row>
    <row r="271" spans="1:7" x14ac:dyDescent="0.25">
      <c r="A271" s="655" t="s">
        <v>1263</v>
      </c>
      <c r="B271" s="11" t="s">
        <v>1146</v>
      </c>
      <c r="C271" s="2">
        <v>19202000734</v>
      </c>
      <c r="D271" s="2">
        <v>3.12</v>
      </c>
      <c r="E271" s="701" t="s">
        <v>419</v>
      </c>
      <c r="F271" s="2"/>
      <c r="G271" s="647"/>
    </row>
    <row r="272" spans="1:7" x14ac:dyDescent="0.25">
      <c r="A272" s="655" t="s">
        <v>1263</v>
      </c>
      <c r="B272" s="11" t="s">
        <v>1146</v>
      </c>
      <c r="C272" s="2">
        <v>19202000723</v>
      </c>
      <c r="D272" s="2">
        <v>3.05</v>
      </c>
      <c r="E272" s="701" t="s">
        <v>419</v>
      </c>
      <c r="F272" s="2"/>
      <c r="G272" s="647"/>
    </row>
    <row r="273" spans="1:7" x14ac:dyDescent="0.25">
      <c r="A273" s="655" t="s">
        <v>1263</v>
      </c>
      <c r="B273" s="11" t="s">
        <v>1146</v>
      </c>
      <c r="C273" s="2">
        <v>19202000727</v>
      </c>
      <c r="D273" s="2">
        <v>3.04</v>
      </c>
      <c r="E273" s="701" t="s">
        <v>419</v>
      </c>
      <c r="F273" s="2"/>
      <c r="G273" s="647"/>
    </row>
    <row r="274" spans="1:7" x14ac:dyDescent="0.25">
      <c r="A274" s="655" t="s">
        <v>1263</v>
      </c>
      <c r="B274" s="11" t="s">
        <v>1146</v>
      </c>
      <c r="C274" s="2">
        <v>19202000736</v>
      </c>
      <c r="D274" s="2">
        <v>2.92</v>
      </c>
      <c r="E274" s="701" t="s">
        <v>419</v>
      </c>
      <c r="F274" s="2"/>
      <c r="G274" s="647"/>
    </row>
    <row r="275" spans="1:7" x14ac:dyDescent="0.25">
      <c r="A275" s="655" t="s">
        <v>1263</v>
      </c>
      <c r="B275" s="11" t="s">
        <v>1146</v>
      </c>
      <c r="C275" s="2">
        <v>19202000735</v>
      </c>
      <c r="D275" s="2">
        <v>2.9</v>
      </c>
      <c r="E275" s="701" t="s">
        <v>419</v>
      </c>
      <c r="F275" s="2"/>
      <c r="G275" s="647"/>
    </row>
    <row r="276" spans="1:7" x14ac:dyDescent="0.25">
      <c r="A276" s="655" t="s">
        <v>1263</v>
      </c>
      <c r="B276" s="11" t="s">
        <v>1146</v>
      </c>
      <c r="C276" s="2">
        <v>19202000732</v>
      </c>
      <c r="D276" s="2">
        <v>2.89</v>
      </c>
      <c r="E276" s="683" t="s">
        <v>420</v>
      </c>
      <c r="F276" s="2"/>
      <c r="G276" s="647"/>
    </row>
    <row r="277" spans="1:7" x14ac:dyDescent="0.25">
      <c r="A277" s="655" t="s">
        <v>1263</v>
      </c>
      <c r="B277" s="11" t="s">
        <v>1146</v>
      </c>
      <c r="C277" s="2">
        <v>19202000731</v>
      </c>
      <c r="D277" s="2">
        <v>2.87</v>
      </c>
      <c r="E277" s="683" t="s">
        <v>420</v>
      </c>
      <c r="F277" s="2"/>
      <c r="G277" s="647"/>
    </row>
    <row r="278" spans="1:7" x14ac:dyDescent="0.25">
      <c r="A278" s="655" t="s">
        <v>1263</v>
      </c>
      <c r="B278" s="11" t="s">
        <v>1146</v>
      </c>
      <c r="C278" s="2">
        <v>19202000726</v>
      </c>
      <c r="D278" s="2">
        <v>2.81</v>
      </c>
      <c r="E278" s="683" t="s">
        <v>420</v>
      </c>
      <c r="F278" s="2"/>
      <c r="G278" s="647"/>
    </row>
    <row r="279" spans="1:7" x14ac:dyDescent="0.25">
      <c r="A279" s="655" t="s">
        <v>1263</v>
      </c>
      <c r="B279" s="11" t="s">
        <v>1146</v>
      </c>
      <c r="C279" s="2">
        <v>19202000722</v>
      </c>
      <c r="D279" s="2">
        <v>2.67</v>
      </c>
      <c r="E279" s="683" t="s">
        <v>420</v>
      </c>
      <c r="F279" s="2"/>
      <c r="G279" s="647"/>
    </row>
    <row r="280" spans="1:7" x14ac:dyDescent="0.25">
      <c r="A280" s="655" t="s">
        <v>1263</v>
      </c>
      <c r="B280" s="11" t="s">
        <v>1146</v>
      </c>
      <c r="C280" s="2">
        <v>19202000724</v>
      </c>
      <c r="D280" s="2">
        <v>2.64</v>
      </c>
      <c r="E280" s="683" t="s">
        <v>420</v>
      </c>
      <c r="F280" s="2"/>
      <c r="G280" s="647"/>
    </row>
    <row r="281" spans="1:7" x14ac:dyDescent="0.25">
      <c r="A281" s="655" t="s">
        <v>1263</v>
      </c>
      <c r="B281" s="11" t="s">
        <v>1146</v>
      </c>
      <c r="C281" s="2">
        <v>19202000733</v>
      </c>
      <c r="D281" s="2">
        <v>2.61</v>
      </c>
      <c r="E281" s="683" t="s">
        <v>420</v>
      </c>
      <c r="F281" s="2"/>
      <c r="G281" s="647"/>
    </row>
    <row r="282" spans="1:7" x14ac:dyDescent="0.25">
      <c r="A282" s="655" t="s">
        <v>1263</v>
      </c>
      <c r="B282" s="11" t="s">
        <v>1146</v>
      </c>
      <c r="C282" s="2">
        <v>19202000728</v>
      </c>
      <c r="D282" s="2">
        <v>2.3199999999999998</v>
      </c>
      <c r="E282" s="683" t="s">
        <v>420</v>
      </c>
      <c r="F282" s="2"/>
      <c r="G282" s="647"/>
    </row>
    <row r="283" spans="1:7" x14ac:dyDescent="0.25">
      <c r="A283" s="2" t="s">
        <v>1381</v>
      </c>
      <c r="B283" s="2" t="s">
        <v>1382</v>
      </c>
      <c r="C283" s="2">
        <v>19202100839</v>
      </c>
      <c r="D283" s="2">
        <v>3.45</v>
      </c>
      <c r="E283" s="701" t="s">
        <v>419</v>
      </c>
      <c r="F283" s="2"/>
      <c r="G283" s="647"/>
    </row>
    <row r="284" spans="1:7" x14ac:dyDescent="0.25">
      <c r="A284" s="2" t="s">
        <v>1381</v>
      </c>
      <c r="B284" s="2" t="s">
        <v>1382</v>
      </c>
      <c r="C284" s="2">
        <v>19202100853</v>
      </c>
      <c r="D284" s="2">
        <v>3.29</v>
      </c>
      <c r="E284" s="701" t="s">
        <v>419</v>
      </c>
      <c r="F284" s="2"/>
      <c r="G284" s="647"/>
    </row>
    <row r="285" spans="1:7" x14ac:dyDescent="0.25">
      <c r="A285" s="2" t="s">
        <v>1381</v>
      </c>
      <c r="B285" s="2" t="s">
        <v>1382</v>
      </c>
      <c r="C285" s="2">
        <v>19202100862</v>
      </c>
      <c r="D285" s="2">
        <v>3.28</v>
      </c>
      <c r="E285" s="701" t="s">
        <v>419</v>
      </c>
      <c r="F285" s="2"/>
      <c r="G285" s="647"/>
    </row>
    <row r="286" spans="1:7" x14ac:dyDescent="0.25">
      <c r="A286" s="2" t="s">
        <v>1381</v>
      </c>
      <c r="B286" s="2" t="s">
        <v>1382</v>
      </c>
      <c r="C286" s="2">
        <v>19202100864</v>
      </c>
      <c r="D286" s="2">
        <v>3.23</v>
      </c>
      <c r="E286" s="701" t="s">
        <v>419</v>
      </c>
      <c r="F286" s="2"/>
      <c r="G286" s="647"/>
    </row>
    <row r="287" spans="1:7" x14ac:dyDescent="0.25">
      <c r="A287" s="2" t="s">
        <v>1381</v>
      </c>
      <c r="B287" s="2" t="s">
        <v>1382</v>
      </c>
      <c r="C287" s="2">
        <v>19202100865</v>
      </c>
      <c r="D287" s="2">
        <v>3.23</v>
      </c>
      <c r="E287" s="701" t="s">
        <v>419</v>
      </c>
      <c r="F287" s="2"/>
      <c r="G287" s="647"/>
    </row>
    <row r="288" spans="1:7" x14ac:dyDescent="0.25">
      <c r="A288" s="2" t="s">
        <v>1381</v>
      </c>
      <c r="B288" s="2" t="s">
        <v>1382</v>
      </c>
      <c r="C288" s="2">
        <v>19202100867</v>
      </c>
      <c r="D288" s="2">
        <v>3.2</v>
      </c>
      <c r="E288" s="683" t="s">
        <v>420</v>
      </c>
      <c r="F288" s="2"/>
      <c r="G288" s="647"/>
    </row>
    <row r="289" spans="1:7" x14ac:dyDescent="0.25">
      <c r="A289" s="2" t="s">
        <v>1381</v>
      </c>
      <c r="B289" s="2" t="s">
        <v>1382</v>
      </c>
      <c r="C289" s="2">
        <v>19202100857</v>
      </c>
      <c r="D289" s="2">
        <v>3.18</v>
      </c>
      <c r="E289" s="683" t="s">
        <v>420</v>
      </c>
      <c r="F289" s="2"/>
      <c r="G289" s="647"/>
    </row>
    <row r="290" spans="1:7" x14ac:dyDescent="0.25">
      <c r="A290" s="2" t="s">
        <v>1381</v>
      </c>
      <c r="B290" s="2" t="s">
        <v>1382</v>
      </c>
      <c r="C290" s="2">
        <v>19202100841</v>
      </c>
      <c r="D290" s="2">
        <v>3.02</v>
      </c>
      <c r="E290" s="683" t="s">
        <v>420</v>
      </c>
      <c r="F290" s="2"/>
      <c r="G290" s="647"/>
    </row>
    <row r="291" spans="1:7" x14ac:dyDescent="0.25">
      <c r="A291" s="2" t="s">
        <v>1381</v>
      </c>
      <c r="B291" s="2" t="s">
        <v>1382</v>
      </c>
      <c r="C291" s="2">
        <v>19202100860</v>
      </c>
      <c r="D291" s="2">
        <v>2.96</v>
      </c>
      <c r="E291" s="683" t="s">
        <v>420</v>
      </c>
      <c r="F291" s="2"/>
      <c r="G291" s="647"/>
    </row>
    <row r="292" spans="1:7" x14ac:dyDescent="0.25">
      <c r="A292" s="2" t="s">
        <v>1381</v>
      </c>
      <c r="B292" s="2" t="s">
        <v>1382</v>
      </c>
      <c r="C292" s="2">
        <v>19202100855</v>
      </c>
      <c r="D292" s="2">
        <v>2.88</v>
      </c>
      <c r="E292" s="683" t="s">
        <v>420</v>
      </c>
      <c r="F292" s="2"/>
      <c r="G292" s="647"/>
    </row>
    <row r="293" spans="1:7" x14ac:dyDescent="0.25">
      <c r="A293" s="2" t="s">
        <v>1381</v>
      </c>
      <c r="B293" s="2" t="s">
        <v>1382</v>
      </c>
      <c r="C293" s="2">
        <v>19202100850</v>
      </c>
      <c r="D293" s="2">
        <v>2.82</v>
      </c>
      <c r="E293" s="683" t="s">
        <v>420</v>
      </c>
      <c r="F293" s="2"/>
      <c r="G293" s="647"/>
    </row>
    <row r="294" spans="1:7" x14ac:dyDescent="0.25">
      <c r="A294" s="2" t="s">
        <v>1381</v>
      </c>
      <c r="B294" s="2" t="s">
        <v>1382</v>
      </c>
      <c r="C294" s="2">
        <v>19202100846</v>
      </c>
      <c r="D294" s="2">
        <v>2.8</v>
      </c>
      <c r="E294" s="683" t="s">
        <v>420</v>
      </c>
      <c r="F294" s="2"/>
      <c r="G294" s="647"/>
    </row>
    <row r="295" spans="1:7" x14ac:dyDescent="0.25">
      <c r="A295" s="2" t="s">
        <v>1381</v>
      </c>
      <c r="B295" s="2" t="s">
        <v>1382</v>
      </c>
      <c r="C295" s="2">
        <v>19202100871</v>
      </c>
      <c r="D295" s="2">
        <v>2.77</v>
      </c>
      <c r="E295" s="683" t="s">
        <v>420</v>
      </c>
      <c r="F295" s="2"/>
      <c r="G295" s="647"/>
    </row>
    <row r="296" spans="1:7" x14ac:dyDescent="0.25">
      <c r="A296" s="2" t="s">
        <v>1381</v>
      </c>
      <c r="B296" s="2" t="s">
        <v>1382</v>
      </c>
      <c r="C296" s="2">
        <v>19202100856</v>
      </c>
      <c r="D296" s="2">
        <v>2.7</v>
      </c>
      <c r="E296" s="683" t="s">
        <v>420</v>
      </c>
      <c r="F296" s="2"/>
      <c r="G296" s="647"/>
    </row>
    <row r="297" spans="1:7" x14ac:dyDescent="0.25">
      <c r="A297" s="2" t="s">
        <v>1381</v>
      </c>
      <c r="B297" s="2" t="s">
        <v>1382</v>
      </c>
      <c r="C297" s="2">
        <v>19202100869</v>
      </c>
      <c r="D297" s="2">
        <v>2.7</v>
      </c>
      <c r="E297" s="683" t="s">
        <v>420</v>
      </c>
      <c r="F297" s="2"/>
      <c r="G297" s="647"/>
    </row>
    <row r="298" spans="1:7" x14ac:dyDescent="0.25">
      <c r="A298" s="2" t="s">
        <v>1381</v>
      </c>
      <c r="B298" s="2" t="s">
        <v>1382</v>
      </c>
      <c r="C298" s="2">
        <v>19202100859</v>
      </c>
      <c r="D298" s="2">
        <v>2.19</v>
      </c>
      <c r="E298" s="683" t="s">
        <v>420</v>
      </c>
      <c r="F298" s="2"/>
      <c r="G298" s="647"/>
    </row>
    <row r="299" spans="1:7" x14ac:dyDescent="0.25">
      <c r="A299" s="2" t="s">
        <v>1393</v>
      </c>
      <c r="B299" s="26" t="s">
        <v>1394</v>
      </c>
      <c r="C299" s="2">
        <v>19202101083</v>
      </c>
      <c r="D299" s="2">
        <v>3.47</v>
      </c>
      <c r="E299" s="701" t="s">
        <v>419</v>
      </c>
      <c r="F299" s="2"/>
    </row>
    <row r="300" spans="1:7" x14ac:dyDescent="0.25">
      <c r="A300" s="2" t="s">
        <v>1393</v>
      </c>
      <c r="B300" s="26" t="s">
        <v>1394</v>
      </c>
      <c r="C300" s="2">
        <v>19202101019</v>
      </c>
      <c r="D300" s="2">
        <v>3.09</v>
      </c>
      <c r="E300" s="701" t="s">
        <v>419</v>
      </c>
      <c r="F300" s="2"/>
    </row>
    <row r="301" spans="1:7" x14ac:dyDescent="0.25">
      <c r="A301" s="2" t="s">
        <v>1393</v>
      </c>
      <c r="B301" s="26" t="s">
        <v>1394</v>
      </c>
      <c r="C301" s="2">
        <v>19202101079</v>
      </c>
      <c r="D301" s="2">
        <v>3.05</v>
      </c>
      <c r="E301" s="701" t="s">
        <v>419</v>
      </c>
      <c r="F301" s="2"/>
    </row>
    <row r="302" spans="1:7" x14ac:dyDescent="0.25">
      <c r="A302" s="2" t="s">
        <v>1393</v>
      </c>
      <c r="B302" s="26" t="s">
        <v>1394</v>
      </c>
      <c r="C302" s="2">
        <v>19202101080</v>
      </c>
      <c r="D302" s="2">
        <v>2.99</v>
      </c>
      <c r="E302" s="701" t="s">
        <v>419</v>
      </c>
      <c r="F302" s="2"/>
    </row>
    <row r="303" spans="1:7" x14ac:dyDescent="0.25">
      <c r="A303" s="2" t="s">
        <v>1393</v>
      </c>
      <c r="B303" s="26" t="s">
        <v>1394</v>
      </c>
      <c r="C303" s="2">
        <v>19202101077</v>
      </c>
      <c r="D303" s="2">
        <v>2.96</v>
      </c>
      <c r="E303" s="701" t="s">
        <v>419</v>
      </c>
      <c r="F303" s="2"/>
    </row>
    <row r="304" spans="1:7" x14ac:dyDescent="0.25">
      <c r="A304" s="2" t="s">
        <v>1393</v>
      </c>
      <c r="B304" s="26" t="s">
        <v>1394</v>
      </c>
      <c r="C304" s="2">
        <v>19202101074</v>
      </c>
      <c r="D304" s="2">
        <v>2.94</v>
      </c>
      <c r="E304" s="701" t="s">
        <v>419</v>
      </c>
      <c r="F304" s="2"/>
    </row>
    <row r="305" spans="1:6" x14ac:dyDescent="0.25">
      <c r="A305" s="2" t="s">
        <v>1393</v>
      </c>
      <c r="B305" s="26" t="s">
        <v>1394</v>
      </c>
      <c r="C305" s="2">
        <v>19202101068</v>
      </c>
      <c r="D305" s="2">
        <v>2.92</v>
      </c>
      <c r="E305" s="701" t="s">
        <v>419</v>
      </c>
      <c r="F305" s="2"/>
    </row>
    <row r="306" spans="1:6" x14ac:dyDescent="0.25">
      <c r="A306" s="2" t="s">
        <v>1393</v>
      </c>
      <c r="B306" s="26" t="s">
        <v>1394</v>
      </c>
      <c r="C306" s="2">
        <v>19202101082</v>
      </c>
      <c r="D306" s="2">
        <v>2.89</v>
      </c>
      <c r="E306" s="701" t="s">
        <v>419</v>
      </c>
      <c r="F306" s="2"/>
    </row>
    <row r="307" spans="1:6" x14ac:dyDescent="0.25">
      <c r="A307" s="2" t="s">
        <v>1393</v>
      </c>
      <c r="B307" s="26" t="s">
        <v>1394</v>
      </c>
      <c r="C307" s="2">
        <v>19202101072</v>
      </c>
      <c r="D307" s="2">
        <v>2.84</v>
      </c>
      <c r="E307" s="701" t="s">
        <v>419</v>
      </c>
      <c r="F307" s="2"/>
    </row>
    <row r="308" spans="1:6" x14ac:dyDescent="0.25">
      <c r="A308" s="2" t="s">
        <v>1393</v>
      </c>
      <c r="B308" s="26" t="s">
        <v>1394</v>
      </c>
      <c r="C308" s="2">
        <v>19202101063</v>
      </c>
      <c r="D308" s="2">
        <v>2.81</v>
      </c>
      <c r="E308" s="701" t="s">
        <v>419</v>
      </c>
      <c r="F308" s="2"/>
    </row>
    <row r="309" spans="1:6" x14ac:dyDescent="0.25">
      <c r="A309" s="2" t="s">
        <v>1393</v>
      </c>
      <c r="B309" s="26" t="s">
        <v>1394</v>
      </c>
      <c r="C309" s="2">
        <v>19202101064</v>
      </c>
      <c r="D309" s="2">
        <v>2.8</v>
      </c>
      <c r="E309" s="701" t="s">
        <v>419</v>
      </c>
      <c r="F309" s="2"/>
    </row>
    <row r="310" spans="1:6" x14ac:dyDescent="0.25">
      <c r="A310" s="2" t="s">
        <v>1393</v>
      </c>
      <c r="B310" s="26" t="s">
        <v>1394</v>
      </c>
      <c r="C310" s="2">
        <v>19202101069</v>
      </c>
      <c r="D310" s="2">
        <v>2.78</v>
      </c>
      <c r="E310" s="701" t="s">
        <v>419</v>
      </c>
      <c r="F310" s="2"/>
    </row>
    <row r="311" spans="1:6" x14ac:dyDescent="0.25">
      <c r="A311" s="2" t="s">
        <v>1393</v>
      </c>
      <c r="B311" s="26" t="s">
        <v>1394</v>
      </c>
      <c r="C311" s="2">
        <v>19202101075</v>
      </c>
      <c r="D311" s="2">
        <v>2.78</v>
      </c>
      <c r="E311" s="701" t="s">
        <v>419</v>
      </c>
      <c r="F311" s="2"/>
    </row>
    <row r="312" spans="1:6" x14ac:dyDescent="0.25">
      <c r="A312" s="2" t="s">
        <v>1393</v>
      </c>
      <c r="B312" s="26" t="s">
        <v>1394</v>
      </c>
      <c r="C312" s="2">
        <v>19202101078</v>
      </c>
      <c r="D312" s="2">
        <v>2.68</v>
      </c>
      <c r="E312" s="701" t="s">
        <v>419</v>
      </c>
      <c r="F312" s="2"/>
    </row>
    <row r="313" spans="1:6" x14ac:dyDescent="0.25">
      <c r="A313" s="2" t="s">
        <v>1393</v>
      </c>
      <c r="B313" s="26" t="s">
        <v>1394</v>
      </c>
      <c r="C313" s="2">
        <v>19202101065</v>
      </c>
      <c r="D313" s="2">
        <v>2.61</v>
      </c>
      <c r="E313" s="683" t="s">
        <v>420</v>
      </c>
      <c r="F313" s="2"/>
    </row>
    <row r="314" spans="1:6" x14ac:dyDescent="0.25">
      <c r="A314" s="2" t="s">
        <v>1393</v>
      </c>
      <c r="B314" s="26" t="s">
        <v>1394</v>
      </c>
      <c r="C314" s="2">
        <v>19202101081</v>
      </c>
      <c r="D314" s="2">
        <v>2.4700000000000002</v>
      </c>
      <c r="E314" s="683" t="s">
        <v>420</v>
      </c>
      <c r="F314" s="2"/>
    </row>
    <row r="315" spans="1:6" x14ac:dyDescent="0.25">
      <c r="A315" s="2" t="s">
        <v>1393</v>
      </c>
      <c r="B315" s="26" t="s">
        <v>1394</v>
      </c>
      <c r="C315" s="2">
        <v>19202101067</v>
      </c>
      <c r="D315" s="2">
        <v>2.41</v>
      </c>
      <c r="E315" s="683" t="s">
        <v>420</v>
      </c>
      <c r="F315" s="2"/>
    </row>
    <row r="316" spans="1:6" x14ac:dyDescent="0.25">
      <c r="A316" s="2" t="s">
        <v>1393</v>
      </c>
      <c r="B316" s="26" t="s">
        <v>1394</v>
      </c>
      <c r="C316" s="2">
        <v>19202101073</v>
      </c>
      <c r="D316" s="2">
        <v>2.39</v>
      </c>
      <c r="E316" s="683" t="s">
        <v>420</v>
      </c>
      <c r="F316" s="2"/>
    </row>
    <row r="317" spans="1:6" x14ac:dyDescent="0.25">
      <c r="A317" s="843" t="s">
        <v>1520</v>
      </c>
      <c r="B317" s="843" t="s">
        <v>1521</v>
      </c>
      <c r="C317" s="843">
        <v>19202200098</v>
      </c>
      <c r="D317" s="843">
        <v>3.4039999999999999</v>
      </c>
      <c r="E317" s="701" t="s">
        <v>419</v>
      </c>
      <c r="F317" s="843"/>
    </row>
    <row r="318" spans="1:6" x14ac:dyDescent="0.25">
      <c r="A318" s="843" t="s">
        <v>1520</v>
      </c>
      <c r="B318" s="843" t="s">
        <v>1521</v>
      </c>
      <c r="C318" s="843">
        <v>19202200108</v>
      </c>
      <c r="D318" s="843">
        <v>3.3410000000000002</v>
      </c>
      <c r="E318" s="701" t="s">
        <v>419</v>
      </c>
      <c r="F318" s="843"/>
    </row>
    <row r="319" spans="1:6" x14ac:dyDescent="0.25">
      <c r="A319" s="843" t="s">
        <v>1520</v>
      </c>
      <c r="B319" s="843" t="s">
        <v>1521</v>
      </c>
      <c r="C319" s="843">
        <v>19202200060</v>
      </c>
      <c r="D319" s="843">
        <v>3.3319999999999999</v>
      </c>
      <c r="E319" s="701" t="s">
        <v>419</v>
      </c>
      <c r="F319" s="843"/>
    </row>
    <row r="320" spans="1:6" x14ac:dyDescent="0.25">
      <c r="A320" s="843" t="s">
        <v>1520</v>
      </c>
      <c r="B320" s="843" t="s">
        <v>1521</v>
      </c>
      <c r="C320" s="843">
        <v>19202200100</v>
      </c>
      <c r="D320" s="843">
        <v>3.2120000000000002</v>
      </c>
      <c r="E320" s="701" t="s">
        <v>419</v>
      </c>
      <c r="F320" s="843"/>
    </row>
    <row r="321" spans="1:6" x14ac:dyDescent="0.25">
      <c r="A321" s="843" t="s">
        <v>1520</v>
      </c>
      <c r="B321" s="843" t="s">
        <v>1521</v>
      </c>
      <c r="C321" s="843">
        <v>19202200118</v>
      </c>
      <c r="D321" s="843">
        <v>3.15</v>
      </c>
      <c r="E321" s="701" t="s">
        <v>419</v>
      </c>
      <c r="F321" s="843"/>
    </row>
    <row r="322" spans="1:6" x14ac:dyDescent="0.25">
      <c r="A322" s="843" t="s">
        <v>1520</v>
      </c>
      <c r="B322" s="843" t="s">
        <v>1521</v>
      </c>
      <c r="C322" s="843">
        <v>19202200067</v>
      </c>
      <c r="D322" s="843">
        <v>2.5579999999999998</v>
      </c>
      <c r="E322" s="701" t="s">
        <v>419</v>
      </c>
      <c r="F322" s="843"/>
    </row>
    <row r="323" spans="1:6" x14ac:dyDescent="0.25">
      <c r="A323" s="843" t="s">
        <v>1520</v>
      </c>
      <c r="B323" s="843" t="s">
        <v>1521</v>
      </c>
      <c r="C323" s="843">
        <v>19202200057</v>
      </c>
      <c r="D323" s="843">
        <v>2.36</v>
      </c>
      <c r="E323" s="701" t="s">
        <v>419</v>
      </c>
      <c r="F323" s="843"/>
    </row>
    <row r="324" spans="1:6" x14ac:dyDescent="0.25">
      <c r="A324" s="843" t="s">
        <v>1520</v>
      </c>
      <c r="B324" s="843" t="s">
        <v>1521</v>
      </c>
      <c r="C324" s="843">
        <v>19202200077</v>
      </c>
      <c r="D324" s="843">
        <v>1.857</v>
      </c>
      <c r="E324" s="683" t="s">
        <v>420</v>
      </c>
      <c r="F324" s="843"/>
    </row>
    <row r="325" spans="1:6" x14ac:dyDescent="0.25">
      <c r="A325" s="646" t="s">
        <v>1563</v>
      </c>
      <c r="B325" s="843" t="s">
        <v>1382</v>
      </c>
      <c r="C325" s="829">
        <v>19202200407</v>
      </c>
      <c r="D325" s="829">
        <v>3.3330000000000002</v>
      </c>
      <c r="E325" s="701" t="s">
        <v>419</v>
      </c>
    </row>
    <row r="326" spans="1:6" x14ac:dyDescent="0.25">
      <c r="A326" s="646" t="s">
        <v>1563</v>
      </c>
      <c r="B326" s="843" t="s">
        <v>1382</v>
      </c>
      <c r="C326" s="829">
        <v>19202200410</v>
      </c>
      <c r="D326" s="829">
        <v>3.3330000000000002</v>
      </c>
      <c r="E326" s="701" t="s">
        <v>419</v>
      </c>
    </row>
    <row r="327" spans="1:6" x14ac:dyDescent="0.25">
      <c r="A327" s="646" t="s">
        <v>1563</v>
      </c>
      <c r="B327" s="843" t="s">
        <v>1382</v>
      </c>
      <c r="C327" s="829">
        <v>19202200406</v>
      </c>
      <c r="D327" s="829">
        <v>3.3039999999999998</v>
      </c>
      <c r="E327" s="701" t="s">
        <v>419</v>
      </c>
    </row>
    <row r="328" spans="1:6" x14ac:dyDescent="0.25">
      <c r="A328" s="646" t="s">
        <v>1563</v>
      </c>
      <c r="B328" s="843" t="s">
        <v>1382</v>
      </c>
      <c r="C328" s="829">
        <v>19202200380</v>
      </c>
      <c r="D328" s="829">
        <v>3.2949999999999999</v>
      </c>
      <c r="E328" s="701" t="s">
        <v>419</v>
      </c>
    </row>
    <row r="329" spans="1:6" x14ac:dyDescent="0.25">
      <c r="A329" s="646" t="s">
        <v>1563</v>
      </c>
      <c r="B329" s="843" t="s">
        <v>1382</v>
      </c>
      <c r="C329" s="829">
        <v>19202200391</v>
      </c>
      <c r="D329" s="829">
        <v>3.0590000000000002</v>
      </c>
      <c r="E329" s="701" t="s">
        <v>419</v>
      </c>
    </row>
    <row r="330" spans="1:6" x14ac:dyDescent="0.25">
      <c r="A330" s="646" t="s">
        <v>1563</v>
      </c>
      <c r="B330" s="843" t="s">
        <v>1382</v>
      </c>
      <c r="C330" s="829">
        <v>19202200408</v>
      </c>
      <c r="D330" s="829">
        <v>3.0579999999999998</v>
      </c>
      <c r="E330" s="701" t="s">
        <v>419</v>
      </c>
    </row>
    <row r="331" spans="1:6" x14ac:dyDescent="0.25">
      <c r="A331" s="646" t="s">
        <v>1563</v>
      </c>
      <c r="B331" s="843" t="s">
        <v>1382</v>
      </c>
      <c r="C331" s="829">
        <v>19202200395</v>
      </c>
      <c r="D331" s="829">
        <v>3.0329999999999999</v>
      </c>
      <c r="E331" s="701" t="s">
        <v>419</v>
      </c>
    </row>
    <row r="332" spans="1:6" x14ac:dyDescent="0.25">
      <c r="A332" s="646" t="s">
        <v>1563</v>
      </c>
      <c r="B332" s="843" t="s">
        <v>1382</v>
      </c>
      <c r="C332" s="829">
        <v>19202200412</v>
      </c>
      <c r="D332" s="829">
        <v>3.0230000000000001</v>
      </c>
      <c r="E332" s="701" t="s">
        <v>419</v>
      </c>
    </row>
    <row r="333" spans="1:6" x14ac:dyDescent="0.25">
      <c r="A333" s="646" t="s">
        <v>1563</v>
      </c>
      <c r="B333" s="843" t="s">
        <v>1382</v>
      </c>
      <c r="C333" s="829">
        <v>19202200418</v>
      </c>
      <c r="D333" s="829">
        <v>2.9569999999999999</v>
      </c>
      <c r="E333" s="701" t="s">
        <v>419</v>
      </c>
    </row>
    <row r="334" spans="1:6" x14ac:dyDescent="0.25">
      <c r="A334" s="646" t="s">
        <v>1563</v>
      </c>
      <c r="B334" s="843" t="s">
        <v>1382</v>
      </c>
      <c r="C334" s="829">
        <v>19202200414</v>
      </c>
      <c r="D334" s="829">
        <v>2.7949999999999999</v>
      </c>
      <c r="E334" s="683" t="s">
        <v>420</v>
      </c>
    </row>
    <row r="335" spans="1:6" x14ac:dyDescent="0.25">
      <c r="A335" s="646" t="s">
        <v>1563</v>
      </c>
      <c r="B335" s="843" t="s">
        <v>1382</v>
      </c>
      <c r="C335" s="829">
        <v>19202200411</v>
      </c>
      <c r="D335" s="829">
        <v>2.74</v>
      </c>
      <c r="E335" s="683" t="s">
        <v>420</v>
      </c>
    </row>
    <row r="336" spans="1:6" x14ac:dyDescent="0.25">
      <c r="A336" s="646" t="s">
        <v>1563</v>
      </c>
      <c r="B336" s="843" t="s">
        <v>1382</v>
      </c>
      <c r="C336" s="829">
        <v>19202200415</v>
      </c>
      <c r="D336" s="829">
        <v>2.74</v>
      </c>
      <c r="E336" s="683" t="s">
        <v>420</v>
      </c>
    </row>
    <row r="337" spans="1:5" x14ac:dyDescent="0.25">
      <c r="A337" s="646" t="s">
        <v>1563</v>
      </c>
      <c r="B337" s="843" t="s">
        <v>1382</v>
      </c>
      <c r="C337" s="829">
        <v>19202200417</v>
      </c>
      <c r="D337" s="829">
        <v>2.7309999999999999</v>
      </c>
      <c r="E337" s="683" t="s">
        <v>420</v>
      </c>
    </row>
    <row r="338" spans="1:5" x14ac:dyDescent="0.25">
      <c r="A338" s="646" t="s">
        <v>1563</v>
      </c>
      <c r="B338" s="843" t="s">
        <v>1382</v>
      </c>
      <c r="C338" s="829">
        <v>19202200413</v>
      </c>
      <c r="D338" s="829">
        <v>2.669</v>
      </c>
      <c r="E338" s="683" t="s">
        <v>420</v>
      </c>
    </row>
    <row r="339" spans="1:5" x14ac:dyDescent="0.25">
      <c r="A339" s="646" t="s">
        <v>1563</v>
      </c>
      <c r="B339" s="843" t="s">
        <v>1382</v>
      </c>
      <c r="C339" s="829">
        <v>19202200359</v>
      </c>
      <c r="D339" s="829">
        <v>2.6030000000000002</v>
      </c>
      <c r="E339" s="683" t="s">
        <v>420</v>
      </c>
    </row>
    <row r="340" spans="1:5" x14ac:dyDescent="0.25">
      <c r="A340" s="646" t="s">
        <v>1563</v>
      </c>
      <c r="B340" s="843" t="s">
        <v>1382</v>
      </c>
      <c r="C340" s="829">
        <v>19202200416</v>
      </c>
      <c r="D340" s="829">
        <v>2.5870000000000002</v>
      </c>
      <c r="E340" s="683" t="s">
        <v>420</v>
      </c>
    </row>
  </sheetData>
  <mergeCells count="1">
    <mergeCell ref="A1:E1"/>
  </mergeCells>
  <hyperlinks>
    <hyperlink ref="C233" r:id="rId1" location="/router?komponent=taotlus&amp;id=600450&amp;kuva=ava" display="https://pms.arib.pria.ee/pms-menetlus/ - /router?komponent=taotlus&amp;id=600450&amp;kuva=ava"/>
    <hyperlink ref="C234" r:id="rId2" location="/router?komponent=taotlus&amp;id=599227&amp;kuva=ava" display="https://pms.arib.pria.ee/pms-menetlus/ - /router?komponent=taotlus&amp;id=599227&amp;kuva=ava"/>
    <hyperlink ref="C235" r:id="rId3" location="/router?komponent=taotlus&amp;id=597187&amp;kuva=ava" display="https://pms.arib.pria.ee/pms-menetlus/ - /router?komponent=taotlus&amp;id=597187&amp;kuva=ava"/>
    <hyperlink ref="C236" r:id="rId4" location="/router?komponent=taotlus&amp;id=597240&amp;kuva=ava" display="https://pms.arib.pria.ee/pms-menetlus/ - /router?komponent=taotlus&amp;id=597240&amp;kuva=ava"/>
    <hyperlink ref="C237" r:id="rId5" location="/router?komponent=taotlus&amp;id=600062&amp;kuva=ava" display="https://pms.arib.pria.ee/pms-menetlus/ - /router?komponent=taotlus&amp;id=600062&amp;kuva=ava"/>
    <hyperlink ref="C238" r:id="rId6" location="/router?komponent=taotlus&amp;id=597510&amp;kuva=ava" display="https://pms.arib.pria.ee/pms-menetlus/ - /router?komponent=taotlus&amp;id=597510&amp;kuva=ava"/>
    <hyperlink ref="C239" r:id="rId7" location="/router?komponent=taotlus&amp;id=599275&amp;kuva=ava" display="https://pms.arib.pria.ee/pms-menetlus/ - /router?komponent=taotlus&amp;id=599275&amp;kuva=ava"/>
    <hyperlink ref="C240" r:id="rId8" location="/router?komponent=taotlus&amp;id=600015&amp;kuva=ava" display="https://pms.arib.pria.ee/pms-menetlus/ - /router?komponent=taotlus&amp;id=600015&amp;kuva=ava"/>
    <hyperlink ref="C241" r:id="rId9" location="/router?komponent=taotlus&amp;id=600017&amp;kuva=ava" display="https://pms.arib.pria.ee/pms-menetlus/ - /router?komponent=taotlus&amp;id=600017&amp;kuva=ava"/>
    <hyperlink ref="C242" r:id="rId10" location="/router?komponent=taotlus&amp;id=598136&amp;kuva=ava" display="https://pms.arib.pria.ee/pms-menetlus/ - /router?komponent=taotlus&amp;id=598136&amp;kuva=ava"/>
    <hyperlink ref="C243" r:id="rId11" location="/router?komponent=taotlus&amp;id=597075&amp;kuva=ava" display="https://pms.arib.pria.ee/pms-menetlus/ - /router?komponent=taotlus&amp;id=597075&amp;kuva=ava"/>
    <hyperlink ref="C244" r:id="rId12" location="/router?komponent=taotlus&amp;id=597762&amp;kuva=ava" display="https://pms.arib.pria.ee/pms-menetlus/ - /router?komponent=taotlus&amp;id=597762&amp;kuva=ava"/>
    <hyperlink ref="C245" r:id="rId13" location="/router?komponent=taotlus&amp;id=596462&amp;kuva=ava" display="https://pms.arib.pria.ee/pms-menetlus/ - /router?komponent=taotlus&amp;id=596462&amp;kuva=ava"/>
    <hyperlink ref="C246" r:id="rId14" location="/router?komponent=taotlus&amp;id=596532&amp;kuva=ava" display="https://pms.arib.pria.ee/pms-menetlus/ - /router?komponent=taotlus&amp;id=596532&amp;kuva=ava"/>
    <hyperlink ref="C247" r:id="rId15" location="/router?komponent=taotlus&amp;id=599521&amp;kuva=ava" display="https://pms.arib.pria.ee/pms-menetlus/ - /router?komponent=taotlus&amp;id=599521&amp;kuva=ava"/>
    <hyperlink ref="C248" r:id="rId16" location="/router?komponent=taotlus&amp;id=598485&amp;kuva=ava" display="https://pms.arib.pria.ee/pms-menetlus/ - /router?komponent=taotlus&amp;id=598485&amp;kuva=ava"/>
    <hyperlink ref="C249" r:id="rId17" location="/router?komponent=taotlus&amp;id=597248&amp;kuva=ava" display="https://pms.arib.pria.ee/pms-menetlus/ - /router?komponent=taotlus&amp;id=597248&amp;kuva=ava"/>
    <hyperlink ref="C250" r:id="rId18" location="/router?komponent=taotlus&amp;id=600222&amp;kuva=ava" display="https://pms.arib.pria.ee/pms-menetlus/ - /router?komponent=taotlus&amp;id=600222&amp;kuva=ava"/>
    <hyperlink ref="C251" r:id="rId19" location="/router?komponent=taotlus&amp;id=599236&amp;kuva=ava" display="https://pms.arib.pria.ee/pms-menetlus/ - /router?komponent=taotlus&amp;id=599236&amp;kuva=ava"/>
    <hyperlink ref="C252" r:id="rId20" location="/router?komponent=taotlus&amp;id=599522&amp;kuva=ava" display="https://pms.arib.pria.ee/pms-menetlus/ - /router?komponent=taotlus&amp;id=599522&amp;kuva=ava"/>
    <hyperlink ref="C253" r:id="rId21" location="/router?komponent=taotlus&amp;id=600484&amp;kuva=ava" display="https://pms.arib.pria.ee/pms-menetlus/ - /router?komponent=taotlus&amp;id=600484&amp;kuva=ava"/>
    <hyperlink ref="C254" r:id="rId22" location="/router?komponent=taotlus&amp;id=600220&amp;kuva=ava" display="https://pms.arib.pria.ee/pms-menetlus/ - /router?komponent=taotlus&amp;id=600220&amp;kuva=ava"/>
    <hyperlink ref="C255" r:id="rId23" location="/router?komponent=taotlus&amp;id=597955&amp;kuva=ava" display="https://pms.arib.pria.ee/pms-menetlus/ - /router?komponent=taotlus&amp;id=597955&amp;kuva=ava"/>
    <hyperlink ref="C256" r:id="rId24" location="/router?komponent=taotlus&amp;id=598134&amp;kuva=ava" display="https://pms.arib.pria.ee/pms-menetlus/ - /router?komponent=taotlus&amp;id=598134&amp;kuva=ava"/>
    <hyperlink ref="C257" r:id="rId25" location="/router?komponent=taotlus&amp;id=597241&amp;kuva=ava" display="https://pms.arib.pria.ee/pms-menetlus/ - /router?komponent=taotlus&amp;id=597241&amp;kuva=ava"/>
    <hyperlink ref="C258" r:id="rId26" location="/router?komponent=taotlus&amp;id=596553&amp;kuva=ava" display="https://pms.arib.pria.ee/pms-menetlus/ - /router?komponent=taotlus&amp;id=596553&amp;kuva=ava"/>
    <hyperlink ref="C259" r:id="rId27" location="/router?komponent=taotlus&amp;id=599237&amp;kuva=ava" display="https://pms.arib.pria.ee/pms-menetlus/ - /router?komponent=taotlus&amp;id=599237&amp;kuva=ava"/>
    <hyperlink ref="C260" r:id="rId28" location="/router?komponent=taotlus&amp;id=597871&amp;kuva=ava" display="https://pms.arib.pria.ee/pms-menetlus/ - /router?komponent=taotlus&amp;id=597871&amp;kuva=ava"/>
    <hyperlink ref="C261" r:id="rId29" location="/router?komponent=taotlus&amp;id=601728&amp;kuva=ava" display="https://pms.arib.pria.ee/pms-menetlus/ - /router?komponent=taotlus&amp;id=601728&amp;kuva=ava"/>
    <hyperlink ref="C262" r:id="rId30" location="/router?komponent=taotlus&amp;id=601086&amp;kuva=ava" display="https://pms.arib.pria.ee/pms-menetlus/ - /router?komponent=taotlus&amp;id=601086&amp;kuva=ava"/>
    <hyperlink ref="C263" r:id="rId31" location="/router?komponent=taotlus&amp;id=598038&amp;kuva=ava" display="https://pms.arib.pria.ee/pms-menetlus/ - /router?komponent=taotlus&amp;id=598038&amp;kuva=ava"/>
    <hyperlink ref="C264" r:id="rId32" location="/router?komponent=taotlus&amp;id=597242&amp;kuva=ava" display="https://pms.arib.pria.ee/pms-menetlus/ - /router?komponent=taotlus&amp;id=597242&amp;kuva=ava"/>
    <hyperlink ref="C265" r:id="rId33" location="/router?komponent=taotlus&amp;id=602177&amp;kuva=ava" display="https://pms.arib.pria.ee/pms-menetlus/ - /router?komponent=taotlus&amp;id=602177&amp;kuva=ava"/>
    <hyperlink ref="C266" r:id="rId34" location="/router?komponent=taotlus&amp;id=601085&amp;kuva=ava" display="https://pms.arib.pria.ee/pms-menetlus/ - /router?komponent=taotlus&amp;id=601085&amp;kuva=ava"/>
    <hyperlink ref="C267" r:id="rId35" location="/router?komponent=taotlus&amp;id=597084&amp;kuva=ava" display="https://pms.arib.pria.ee/pms-menetlus/ - /router?komponent=taotlus&amp;id=597084&amp;kuva=ava"/>
  </hyperlinks>
  <pageMargins left="0.7" right="0.7" top="0.75" bottom="0.75" header="0.3" footer="0.3"/>
  <pageSetup paperSize="9" orientation="portrait" r:id="rId36"/>
  <ignoredErrors>
    <ignoredError sqref="C57:D57 C3:C56 C58:C7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workbookViewId="0">
      <pane ySplit="2" topLeftCell="A187" activePane="bottomLeft" state="frozen"/>
      <selection pane="bottomLeft" activeCell="H212" sqref="H212"/>
    </sheetView>
  </sheetViews>
  <sheetFormatPr defaultRowHeight="15" x14ac:dyDescent="0.25"/>
  <cols>
    <col min="1" max="1" width="21.140625" bestFit="1" customWidth="1"/>
    <col min="2" max="2" width="56.140625" bestFit="1" customWidth="1"/>
    <col min="3" max="3" width="15.85546875" customWidth="1"/>
    <col min="4" max="4" width="18.85546875" customWidth="1"/>
    <col min="5" max="5" width="17.5703125" customWidth="1"/>
  </cols>
  <sheetData>
    <row r="1" spans="1:5" ht="15.75" x14ac:dyDescent="0.25">
      <c r="A1" s="847" t="s">
        <v>3</v>
      </c>
      <c r="B1" s="848"/>
      <c r="C1" s="848"/>
      <c r="D1" s="848"/>
      <c r="E1" s="849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7</v>
      </c>
      <c r="B3" s="91" t="s">
        <v>4</v>
      </c>
      <c r="C3" s="134">
        <v>619216510034</v>
      </c>
      <c r="D3" s="89">
        <v>12.05</v>
      </c>
      <c r="E3" s="39" t="s">
        <v>419</v>
      </c>
    </row>
    <row r="4" spans="1:5" x14ac:dyDescent="0.25">
      <c r="A4" s="60" t="s">
        <v>7</v>
      </c>
      <c r="B4" s="1" t="s">
        <v>4</v>
      </c>
      <c r="C4" s="3">
        <v>619216510035</v>
      </c>
      <c r="D4" s="8">
        <v>10.98</v>
      </c>
      <c r="E4" s="41" t="s">
        <v>419</v>
      </c>
    </row>
    <row r="5" spans="1:5" x14ac:dyDescent="0.25">
      <c r="A5" s="60" t="s">
        <v>7</v>
      </c>
      <c r="B5" s="1" t="s">
        <v>4</v>
      </c>
      <c r="C5" s="3">
        <v>619216510036</v>
      </c>
      <c r="D5" s="8">
        <v>10.93</v>
      </c>
      <c r="E5" s="41" t="s">
        <v>419</v>
      </c>
    </row>
    <row r="6" spans="1:5" x14ac:dyDescent="0.25">
      <c r="A6" s="60" t="s">
        <v>7</v>
      </c>
      <c r="B6" s="1" t="s">
        <v>4</v>
      </c>
      <c r="C6" s="3">
        <v>619216510037</v>
      </c>
      <c r="D6" s="8">
        <v>10.45</v>
      </c>
      <c r="E6" s="41" t="s">
        <v>419</v>
      </c>
    </row>
    <row r="7" spans="1:5" x14ac:dyDescent="0.25">
      <c r="A7" s="60" t="s">
        <v>7</v>
      </c>
      <c r="B7" s="1" t="s">
        <v>4</v>
      </c>
      <c r="C7" s="3">
        <v>619216510038</v>
      </c>
      <c r="D7" s="8">
        <v>10.42</v>
      </c>
      <c r="E7" s="41" t="s">
        <v>419</v>
      </c>
    </row>
    <row r="8" spans="1:5" x14ac:dyDescent="0.25">
      <c r="A8" s="60" t="s">
        <v>7</v>
      </c>
      <c r="B8" s="1" t="s">
        <v>4</v>
      </c>
      <c r="C8" s="3">
        <v>619216510039</v>
      </c>
      <c r="D8" s="8">
        <v>10.28</v>
      </c>
      <c r="E8" s="41" t="s">
        <v>419</v>
      </c>
    </row>
    <row r="9" spans="1:5" x14ac:dyDescent="0.25">
      <c r="A9" s="60" t="s">
        <v>7</v>
      </c>
      <c r="B9" s="1" t="s">
        <v>4</v>
      </c>
      <c r="C9" s="3">
        <v>619216510040</v>
      </c>
      <c r="D9" s="8">
        <v>10.17</v>
      </c>
      <c r="E9" s="41" t="s">
        <v>419</v>
      </c>
    </row>
    <row r="10" spans="1:5" x14ac:dyDescent="0.25">
      <c r="A10" s="60" t="s">
        <v>7</v>
      </c>
      <c r="B10" s="1" t="s">
        <v>4</v>
      </c>
      <c r="C10" s="3">
        <v>619216510041</v>
      </c>
      <c r="D10" s="8">
        <v>10.15</v>
      </c>
      <c r="E10" s="41" t="s">
        <v>419</v>
      </c>
    </row>
    <row r="11" spans="1:5" x14ac:dyDescent="0.25">
      <c r="A11" s="60" t="s">
        <v>7</v>
      </c>
      <c r="B11" s="1" t="s">
        <v>4</v>
      </c>
      <c r="C11" s="3">
        <v>619216510046</v>
      </c>
      <c r="D11" s="8">
        <v>10.1</v>
      </c>
      <c r="E11" s="66" t="s">
        <v>420</v>
      </c>
    </row>
    <row r="12" spans="1:5" x14ac:dyDescent="0.25">
      <c r="A12" s="60" t="s">
        <v>7</v>
      </c>
      <c r="B12" s="1" t="s">
        <v>4</v>
      </c>
      <c r="C12" s="3">
        <v>619216510054</v>
      </c>
      <c r="D12" s="8">
        <v>9.7799999999999994</v>
      </c>
      <c r="E12" s="66" t="s">
        <v>420</v>
      </c>
    </row>
    <row r="13" spans="1:5" x14ac:dyDescent="0.25">
      <c r="A13" s="60" t="s">
        <v>7</v>
      </c>
      <c r="B13" s="1" t="s">
        <v>4</v>
      </c>
      <c r="C13" s="3">
        <v>619216510043</v>
      </c>
      <c r="D13" s="8">
        <v>9.2899999999999991</v>
      </c>
      <c r="E13" s="66" t="s">
        <v>420</v>
      </c>
    </row>
    <row r="14" spans="1:5" ht="15.75" thickBot="1" x14ac:dyDescent="0.3">
      <c r="A14" s="61" t="s">
        <v>7</v>
      </c>
      <c r="B14" s="62" t="s">
        <v>4</v>
      </c>
      <c r="C14" s="135">
        <v>619216510050</v>
      </c>
      <c r="D14" s="90">
        <v>8.6</v>
      </c>
      <c r="E14" s="46" t="s">
        <v>420</v>
      </c>
    </row>
    <row r="15" spans="1:5" x14ac:dyDescent="0.25">
      <c r="A15" s="58" t="s">
        <v>7</v>
      </c>
      <c r="B15" s="91" t="s">
        <v>5</v>
      </c>
      <c r="C15" s="134">
        <v>619216510027</v>
      </c>
      <c r="D15" s="89">
        <v>13.28</v>
      </c>
      <c r="E15" s="39" t="s">
        <v>419</v>
      </c>
    </row>
    <row r="16" spans="1:5" x14ac:dyDescent="0.25">
      <c r="A16" s="60" t="s">
        <v>7</v>
      </c>
      <c r="B16" s="1" t="s">
        <v>5</v>
      </c>
      <c r="C16" s="3">
        <v>619216510028</v>
      </c>
      <c r="D16" s="8">
        <v>12.68</v>
      </c>
      <c r="E16" s="41" t="s">
        <v>419</v>
      </c>
    </row>
    <row r="17" spans="1:5" x14ac:dyDescent="0.25">
      <c r="A17" s="60" t="s">
        <v>7</v>
      </c>
      <c r="B17" s="1" t="s">
        <v>5</v>
      </c>
      <c r="C17" s="3">
        <v>619216510029</v>
      </c>
      <c r="D17" s="8">
        <v>12.59</v>
      </c>
      <c r="E17" s="41" t="s">
        <v>419</v>
      </c>
    </row>
    <row r="18" spans="1:5" x14ac:dyDescent="0.25">
      <c r="A18" s="60" t="s">
        <v>7</v>
      </c>
      <c r="B18" s="1" t="s">
        <v>5</v>
      </c>
      <c r="C18" s="3">
        <v>619216510030</v>
      </c>
      <c r="D18" s="8">
        <v>11.98</v>
      </c>
      <c r="E18" s="41" t="s">
        <v>419</v>
      </c>
    </row>
    <row r="19" spans="1:5" x14ac:dyDescent="0.25">
      <c r="A19" s="60" t="s">
        <v>7</v>
      </c>
      <c r="B19" s="1" t="s">
        <v>5</v>
      </c>
      <c r="C19" s="3">
        <v>619216510031</v>
      </c>
      <c r="D19" s="8">
        <v>11.61</v>
      </c>
      <c r="E19" s="41" t="s">
        <v>419</v>
      </c>
    </row>
    <row r="20" spans="1:5" x14ac:dyDescent="0.25">
      <c r="A20" s="60" t="s">
        <v>7</v>
      </c>
      <c r="B20" s="1" t="s">
        <v>5</v>
      </c>
      <c r="C20" s="3">
        <v>619216510032</v>
      </c>
      <c r="D20" s="8">
        <v>11.13</v>
      </c>
      <c r="E20" s="41" t="s">
        <v>419</v>
      </c>
    </row>
    <row r="21" spans="1:5" x14ac:dyDescent="0.25">
      <c r="A21" s="60" t="s">
        <v>7</v>
      </c>
      <c r="B21" s="1" t="s">
        <v>5</v>
      </c>
      <c r="C21" s="3">
        <v>619216510033</v>
      </c>
      <c r="D21" s="8">
        <v>10.49</v>
      </c>
      <c r="E21" s="41" t="s">
        <v>419</v>
      </c>
    </row>
    <row r="22" spans="1:5" x14ac:dyDescent="0.25">
      <c r="A22" s="60" t="s">
        <v>7</v>
      </c>
      <c r="B22" s="1" t="s">
        <v>5</v>
      </c>
      <c r="C22" s="3">
        <v>619216510047</v>
      </c>
      <c r="D22" s="8">
        <v>10.47</v>
      </c>
      <c r="E22" s="66" t="s">
        <v>420</v>
      </c>
    </row>
    <row r="23" spans="1:5" x14ac:dyDescent="0.25">
      <c r="A23" s="60" t="s">
        <v>7</v>
      </c>
      <c r="B23" s="1" t="s">
        <v>5</v>
      </c>
      <c r="C23" s="3">
        <v>619216510045</v>
      </c>
      <c r="D23" s="8">
        <v>10.28</v>
      </c>
      <c r="E23" s="66" t="s">
        <v>420</v>
      </c>
    </row>
    <row r="24" spans="1:5" x14ac:dyDescent="0.25">
      <c r="A24" s="60" t="s">
        <v>7</v>
      </c>
      <c r="B24" s="1" t="s">
        <v>5</v>
      </c>
      <c r="C24" s="3">
        <v>619216510055</v>
      </c>
      <c r="D24" s="8">
        <v>9.94</v>
      </c>
      <c r="E24" s="66" t="s">
        <v>420</v>
      </c>
    </row>
    <row r="25" spans="1:5" x14ac:dyDescent="0.25">
      <c r="A25" s="60" t="s">
        <v>7</v>
      </c>
      <c r="B25" s="1" t="s">
        <v>5</v>
      </c>
      <c r="C25" s="3">
        <v>619216510056</v>
      </c>
      <c r="D25" s="8">
        <v>9.7200000000000006</v>
      </c>
      <c r="E25" s="66" t="s">
        <v>420</v>
      </c>
    </row>
    <row r="26" spans="1:5" x14ac:dyDescent="0.25">
      <c r="A26" s="60" t="s">
        <v>7</v>
      </c>
      <c r="B26" s="1" t="s">
        <v>5</v>
      </c>
      <c r="C26" s="3">
        <v>619216510053</v>
      </c>
      <c r="D26" s="8">
        <v>9.69</v>
      </c>
      <c r="E26" s="66" t="s">
        <v>420</v>
      </c>
    </row>
    <row r="27" spans="1:5" x14ac:dyDescent="0.25">
      <c r="A27" s="60" t="s">
        <v>7</v>
      </c>
      <c r="B27" s="1" t="s">
        <v>5</v>
      </c>
      <c r="C27" s="3">
        <v>619216510057</v>
      </c>
      <c r="D27" s="8">
        <v>9.64</v>
      </c>
      <c r="E27" s="66" t="s">
        <v>420</v>
      </c>
    </row>
    <row r="28" spans="1:5" x14ac:dyDescent="0.25">
      <c r="A28" s="60" t="s">
        <v>7</v>
      </c>
      <c r="B28" s="1" t="s">
        <v>5</v>
      </c>
      <c r="C28" s="3">
        <v>619216510051</v>
      </c>
      <c r="D28" s="8">
        <v>9.5399999999999991</v>
      </c>
      <c r="E28" s="66" t="s">
        <v>420</v>
      </c>
    </row>
    <row r="29" spans="1:5" x14ac:dyDescent="0.25">
      <c r="A29" s="60" t="s">
        <v>7</v>
      </c>
      <c r="B29" s="1" t="s">
        <v>5</v>
      </c>
      <c r="C29" s="3">
        <v>619216510048</v>
      </c>
      <c r="D29" s="8">
        <v>9.5299999999999994</v>
      </c>
      <c r="E29" s="66" t="s">
        <v>420</v>
      </c>
    </row>
    <row r="30" spans="1:5" x14ac:dyDescent="0.25">
      <c r="A30" s="60" t="s">
        <v>7</v>
      </c>
      <c r="B30" s="1" t="s">
        <v>5</v>
      </c>
      <c r="C30" s="3">
        <v>619216510044</v>
      </c>
      <c r="D30" s="8">
        <v>9.35</v>
      </c>
      <c r="E30" s="66" t="s">
        <v>420</v>
      </c>
    </row>
    <row r="31" spans="1:5" x14ac:dyDescent="0.25">
      <c r="A31" s="60" t="s">
        <v>7</v>
      </c>
      <c r="B31" s="1" t="s">
        <v>5</v>
      </c>
      <c r="C31" s="3">
        <v>619216510049</v>
      </c>
      <c r="D31" s="8">
        <v>9.2799999999999994</v>
      </c>
      <c r="E31" s="66" t="s">
        <v>420</v>
      </c>
    </row>
    <row r="32" spans="1:5" x14ac:dyDescent="0.25">
      <c r="A32" s="60" t="s">
        <v>7</v>
      </c>
      <c r="B32" s="1" t="s">
        <v>5</v>
      </c>
      <c r="C32" s="3">
        <v>619216510042</v>
      </c>
      <c r="D32" s="8">
        <v>8.83</v>
      </c>
      <c r="E32" s="66" t="s">
        <v>420</v>
      </c>
    </row>
    <row r="33" spans="1:5" ht="15.75" thickBot="1" x14ac:dyDescent="0.3">
      <c r="A33" s="61" t="s">
        <v>7</v>
      </c>
      <c r="B33" s="62" t="s">
        <v>5</v>
      </c>
      <c r="C33" s="135">
        <v>619216510052</v>
      </c>
      <c r="D33" s="90">
        <v>8.7899999999999991</v>
      </c>
      <c r="E33" s="46" t="s">
        <v>420</v>
      </c>
    </row>
    <row r="34" spans="1:5" x14ac:dyDescent="0.25">
      <c r="A34" s="58" t="s">
        <v>439</v>
      </c>
      <c r="B34" s="136" t="s">
        <v>440</v>
      </c>
      <c r="C34" s="137">
        <v>619216510899</v>
      </c>
      <c r="D34" s="89">
        <v>2.54</v>
      </c>
      <c r="E34" s="39" t="s">
        <v>419</v>
      </c>
    </row>
    <row r="35" spans="1:5" x14ac:dyDescent="0.25">
      <c r="A35" s="60" t="s">
        <v>439</v>
      </c>
      <c r="B35" s="28" t="s">
        <v>440</v>
      </c>
      <c r="C35" s="30" t="str">
        <f>"619216510902"</f>
        <v>619216510902</v>
      </c>
      <c r="D35" s="8">
        <v>2.17083</v>
      </c>
      <c r="E35" s="41" t="s">
        <v>419</v>
      </c>
    </row>
    <row r="36" spans="1:5" x14ac:dyDescent="0.25">
      <c r="A36" s="60" t="s">
        <v>439</v>
      </c>
      <c r="B36" s="28" t="s">
        <v>440</v>
      </c>
      <c r="C36" s="30" t="str">
        <f>"619216510896"</f>
        <v>619216510896</v>
      </c>
      <c r="D36" s="8">
        <v>2.14167</v>
      </c>
      <c r="E36" s="41" t="s">
        <v>419</v>
      </c>
    </row>
    <row r="37" spans="1:5" x14ac:dyDescent="0.25">
      <c r="A37" s="60" t="s">
        <v>439</v>
      </c>
      <c r="B37" s="28" t="s">
        <v>440</v>
      </c>
      <c r="C37" s="30" t="str">
        <f>"619216510898"</f>
        <v>619216510898</v>
      </c>
      <c r="D37" s="8">
        <v>2.0625</v>
      </c>
      <c r="E37" s="41" t="s">
        <v>419</v>
      </c>
    </row>
    <row r="38" spans="1:5" x14ac:dyDescent="0.25">
      <c r="A38" s="60" t="s">
        <v>439</v>
      </c>
      <c r="B38" s="28" t="s">
        <v>440</v>
      </c>
      <c r="C38" s="30" t="str">
        <f>"619216510900"</f>
        <v>619216510900</v>
      </c>
      <c r="D38" s="8">
        <v>2.0333299999999999</v>
      </c>
      <c r="E38" s="41" t="s">
        <v>419</v>
      </c>
    </row>
    <row r="39" spans="1:5" x14ac:dyDescent="0.25">
      <c r="A39" s="60" t="s">
        <v>439</v>
      </c>
      <c r="B39" s="28" t="s">
        <v>440</v>
      </c>
      <c r="C39" s="30" t="str">
        <f>"619216510897"</f>
        <v>619216510897</v>
      </c>
      <c r="D39" s="8">
        <v>2.0083299999999999</v>
      </c>
      <c r="E39" s="41" t="s">
        <v>419</v>
      </c>
    </row>
    <row r="40" spans="1:5" x14ac:dyDescent="0.25">
      <c r="A40" s="60" t="s">
        <v>439</v>
      </c>
      <c r="B40" s="28" t="s">
        <v>440</v>
      </c>
      <c r="C40" s="30" t="str">
        <f>"619216510901"</f>
        <v>619216510901</v>
      </c>
      <c r="D40" s="8">
        <v>1.9583299999999999</v>
      </c>
      <c r="E40" s="41" t="s">
        <v>419</v>
      </c>
    </row>
    <row r="41" spans="1:5" x14ac:dyDescent="0.25">
      <c r="A41" s="60" t="s">
        <v>439</v>
      </c>
      <c r="B41" s="28" t="s">
        <v>440</v>
      </c>
      <c r="C41" s="30" t="str">
        <f>"619216510892"</f>
        <v>619216510892</v>
      </c>
      <c r="D41" s="8">
        <v>1.95</v>
      </c>
      <c r="E41" s="41" t="s">
        <v>419</v>
      </c>
    </row>
    <row r="42" spans="1:5" x14ac:dyDescent="0.25">
      <c r="A42" s="60" t="s">
        <v>439</v>
      </c>
      <c r="B42" s="28" t="s">
        <v>440</v>
      </c>
      <c r="C42" s="30" t="str">
        <f>"619216510895"</f>
        <v>619216510895</v>
      </c>
      <c r="D42" s="8">
        <v>1.9083300000000001</v>
      </c>
      <c r="E42" s="41" t="s">
        <v>419</v>
      </c>
    </row>
    <row r="43" spans="1:5" x14ac:dyDescent="0.25">
      <c r="A43" s="60" t="s">
        <v>439</v>
      </c>
      <c r="B43" s="28" t="s">
        <v>440</v>
      </c>
      <c r="C43" s="30" t="str">
        <f>"619216510903"</f>
        <v>619216510903</v>
      </c>
      <c r="D43" s="8">
        <v>1.9041699999999999</v>
      </c>
      <c r="E43" s="41" t="s">
        <v>419</v>
      </c>
    </row>
    <row r="44" spans="1:5" x14ac:dyDescent="0.25">
      <c r="A44" s="60" t="s">
        <v>439</v>
      </c>
      <c r="B44" s="28" t="s">
        <v>440</v>
      </c>
      <c r="C44" s="30" t="str">
        <f>"619216510894"</f>
        <v>619216510894</v>
      </c>
      <c r="D44" s="8">
        <v>1.8374999999999999</v>
      </c>
      <c r="E44" s="41" t="s">
        <v>419</v>
      </c>
    </row>
    <row r="45" spans="1:5" x14ac:dyDescent="0.25">
      <c r="A45" s="60" t="s">
        <v>439</v>
      </c>
      <c r="B45" s="28" t="s">
        <v>440</v>
      </c>
      <c r="C45" s="30" t="str">
        <f>"619216510893"</f>
        <v>619216510893</v>
      </c>
      <c r="D45" s="8">
        <v>1.8125</v>
      </c>
      <c r="E45" s="41" t="s">
        <v>419</v>
      </c>
    </row>
    <row r="46" spans="1:5" x14ac:dyDescent="0.25">
      <c r="A46" s="60" t="s">
        <v>439</v>
      </c>
      <c r="B46" s="1" t="s">
        <v>441</v>
      </c>
      <c r="C46" s="30" t="str">
        <f>"619216510904"</f>
        <v>619216510904</v>
      </c>
      <c r="D46" s="8">
        <v>1.7208300000000001</v>
      </c>
      <c r="E46" s="66" t="s">
        <v>420</v>
      </c>
    </row>
    <row r="47" spans="1:5" x14ac:dyDescent="0.25">
      <c r="A47" s="60" t="s">
        <v>439</v>
      </c>
      <c r="B47" s="1" t="s">
        <v>441</v>
      </c>
      <c r="C47" s="30" t="str">
        <f>"619216510905"</f>
        <v>619216510905</v>
      </c>
      <c r="D47" s="8">
        <v>1.7166699999999999</v>
      </c>
      <c r="E47" s="66" t="s">
        <v>420</v>
      </c>
    </row>
    <row r="48" spans="1:5" ht="15.75" thickBot="1" x14ac:dyDescent="0.3">
      <c r="A48" s="61" t="s">
        <v>439</v>
      </c>
      <c r="B48" s="62" t="s">
        <v>441</v>
      </c>
      <c r="C48" s="138" t="str">
        <f>"619216510906"</f>
        <v>619216510906</v>
      </c>
      <c r="D48" s="90">
        <v>1.5541700000000001</v>
      </c>
      <c r="E48" s="46" t="s">
        <v>420</v>
      </c>
    </row>
    <row r="49" spans="1:5" x14ac:dyDescent="0.25">
      <c r="A49" s="58" t="s">
        <v>439</v>
      </c>
      <c r="B49" s="99" t="s">
        <v>442</v>
      </c>
      <c r="C49" s="67" t="str">
        <f>"619216510907"</f>
        <v>619216510907</v>
      </c>
      <c r="D49" s="89">
        <v>2.60833</v>
      </c>
      <c r="E49" s="39" t="s">
        <v>419</v>
      </c>
    </row>
    <row r="50" spans="1:5" x14ac:dyDescent="0.25">
      <c r="A50" s="60" t="s">
        <v>439</v>
      </c>
      <c r="B50" s="29" t="s">
        <v>442</v>
      </c>
      <c r="C50" s="30" t="str">
        <f>"619216510908"</f>
        <v>619216510908</v>
      </c>
      <c r="D50" s="8">
        <v>2.54583</v>
      </c>
      <c r="E50" s="41" t="s">
        <v>419</v>
      </c>
    </row>
    <row r="51" spans="1:5" x14ac:dyDescent="0.25">
      <c r="A51" s="60" t="s">
        <v>439</v>
      </c>
      <c r="B51" s="29" t="s">
        <v>442</v>
      </c>
      <c r="C51" s="30" t="str">
        <f>"619216510909"</f>
        <v>619216510909</v>
      </c>
      <c r="D51" s="8">
        <v>2.1166700000000001</v>
      </c>
      <c r="E51" s="41" t="s">
        <v>419</v>
      </c>
    </row>
    <row r="52" spans="1:5" ht="15.75" thickBot="1" x14ac:dyDescent="0.3">
      <c r="A52" s="61" t="s">
        <v>439</v>
      </c>
      <c r="B52" s="88" t="s">
        <v>442</v>
      </c>
      <c r="C52" s="138" t="str">
        <f>"619216510910"</f>
        <v>619216510910</v>
      </c>
      <c r="D52" s="90">
        <v>2.0916700000000001</v>
      </c>
      <c r="E52" s="87" t="s">
        <v>419</v>
      </c>
    </row>
    <row r="53" spans="1:5" x14ac:dyDescent="0.25">
      <c r="A53" s="518" t="s">
        <v>741</v>
      </c>
      <c r="B53" s="390" t="s">
        <v>4</v>
      </c>
      <c r="C53" s="86" t="str">
        <f>"619217511978"</f>
        <v>619217511978</v>
      </c>
      <c r="D53" s="86">
        <v>9.75</v>
      </c>
      <c r="E53" s="225" t="s">
        <v>419</v>
      </c>
    </row>
    <row r="54" spans="1:5" x14ac:dyDescent="0.25">
      <c r="A54" s="5" t="s">
        <v>741</v>
      </c>
      <c r="B54" s="1" t="s">
        <v>4</v>
      </c>
      <c r="C54" s="2" t="str">
        <f>"619217511977"</f>
        <v>619217511977</v>
      </c>
      <c r="D54" s="2">
        <v>10.257999999999999</v>
      </c>
      <c r="E54" s="225" t="s">
        <v>419</v>
      </c>
    </row>
    <row r="55" spans="1:5" x14ac:dyDescent="0.25">
      <c r="A55" s="5" t="s">
        <v>741</v>
      </c>
      <c r="B55" s="1" t="s">
        <v>4</v>
      </c>
      <c r="C55" s="2" t="str">
        <f>"619217511976"</f>
        <v>619217511976</v>
      </c>
      <c r="D55" s="2">
        <v>10.35</v>
      </c>
      <c r="E55" s="225" t="s">
        <v>419</v>
      </c>
    </row>
    <row r="56" spans="1:5" x14ac:dyDescent="0.25">
      <c r="A56" s="5" t="s">
        <v>741</v>
      </c>
      <c r="B56" s="1" t="s">
        <v>4</v>
      </c>
      <c r="C56" s="2" t="str">
        <f>"619217511975"</f>
        <v>619217511975</v>
      </c>
      <c r="D56" s="2">
        <v>10.733000000000001</v>
      </c>
      <c r="E56" s="225" t="s">
        <v>419</v>
      </c>
    </row>
    <row r="57" spans="1:5" x14ac:dyDescent="0.25">
      <c r="A57" s="5" t="s">
        <v>741</v>
      </c>
      <c r="B57" s="1" t="s">
        <v>4</v>
      </c>
      <c r="C57" s="2" t="str">
        <f>"619217511974"</f>
        <v>619217511974</v>
      </c>
      <c r="D57" s="2">
        <v>11.525</v>
      </c>
      <c r="E57" s="225" t="s">
        <v>419</v>
      </c>
    </row>
    <row r="58" spans="1:5" ht="15.75" thickBot="1" x14ac:dyDescent="0.3">
      <c r="A58" s="44" t="s">
        <v>741</v>
      </c>
      <c r="B58" s="62" t="s">
        <v>4</v>
      </c>
      <c r="C58" s="51" t="str">
        <f>"619217511973"</f>
        <v>619217511973</v>
      </c>
      <c r="D58" s="51">
        <v>11.925000000000001</v>
      </c>
      <c r="E58" s="225" t="s">
        <v>419</v>
      </c>
    </row>
    <row r="59" spans="1:5" x14ac:dyDescent="0.25">
      <c r="A59" s="185" t="s">
        <v>741</v>
      </c>
      <c r="B59" s="390" t="s">
        <v>5</v>
      </c>
      <c r="C59" s="86" t="str">
        <f>"619217511988"</f>
        <v>619217511988</v>
      </c>
      <c r="D59" s="86">
        <v>10.433</v>
      </c>
      <c r="E59" s="225" t="s">
        <v>419</v>
      </c>
    </row>
    <row r="60" spans="1:5" x14ac:dyDescent="0.25">
      <c r="A60" s="5" t="s">
        <v>741</v>
      </c>
      <c r="B60" s="1" t="s">
        <v>5</v>
      </c>
      <c r="C60" s="2" t="str">
        <f>"619217511987"</f>
        <v>619217511987</v>
      </c>
      <c r="D60" s="2">
        <v>10.525</v>
      </c>
      <c r="E60" s="225" t="s">
        <v>419</v>
      </c>
    </row>
    <row r="61" spans="1:5" x14ac:dyDescent="0.25">
      <c r="A61" s="5" t="s">
        <v>741</v>
      </c>
      <c r="B61" s="1" t="s">
        <v>5</v>
      </c>
      <c r="C61" s="2" t="str">
        <f>"619217511986"</f>
        <v>619217511986</v>
      </c>
      <c r="D61" s="2">
        <v>10.625</v>
      </c>
      <c r="E61" s="225" t="s">
        <v>419</v>
      </c>
    </row>
    <row r="62" spans="1:5" x14ac:dyDescent="0.25">
      <c r="A62" s="5" t="s">
        <v>741</v>
      </c>
      <c r="B62" s="1" t="s">
        <v>5</v>
      </c>
      <c r="C62" s="2" t="str">
        <f>"619217511985"</f>
        <v>619217511985</v>
      </c>
      <c r="D62" s="2">
        <v>10.632999999999999</v>
      </c>
      <c r="E62" s="225" t="s">
        <v>419</v>
      </c>
    </row>
    <row r="63" spans="1:5" x14ac:dyDescent="0.25">
      <c r="A63" s="5" t="s">
        <v>741</v>
      </c>
      <c r="B63" s="1" t="s">
        <v>5</v>
      </c>
      <c r="C63" s="2" t="str">
        <f>"619217511984"</f>
        <v>619217511984</v>
      </c>
      <c r="D63" s="2">
        <v>11.208</v>
      </c>
      <c r="E63" s="225" t="s">
        <v>419</v>
      </c>
    </row>
    <row r="64" spans="1:5" x14ac:dyDescent="0.25">
      <c r="A64" s="5" t="s">
        <v>741</v>
      </c>
      <c r="B64" s="1" t="s">
        <v>5</v>
      </c>
      <c r="C64" s="2" t="str">
        <f>"619217511983"</f>
        <v>619217511983</v>
      </c>
      <c r="D64" s="2">
        <v>11.358000000000001</v>
      </c>
      <c r="E64" s="225" t="s">
        <v>419</v>
      </c>
    </row>
    <row r="65" spans="1:6" x14ac:dyDescent="0.25">
      <c r="A65" s="5" t="s">
        <v>741</v>
      </c>
      <c r="B65" s="1" t="s">
        <v>5</v>
      </c>
      <c r="C65" s="2" t="str">
        <f>"619217511982"</f>
        <v>619217511982</v>
      </c>
      <c r="D65" s="2">
        <v>11.4</v>
      </c>
      <c r="E65" s="225" t="s">
        <v>419</v>
      </c>
    </row>
    <row r="66" spans="1:6" x14ac:dyDescent="0.25">
      <c r="A66" s="5" t="s">
        <v>741</v>
      </c>
      <c r="B66" s="1" t="s">
        <v>5</v>
      </c>
      <c r="C66" s="2" t="str">
        <f>"619217511981"</f>
        <v>619217511981</v>
      </c>
      <c r="D66" s="2">
        <v>12.225</v>
      </c>
      <c r="E66" s="225" t="s">
        <v>419</v>
      </c>
    </row>
    <row r="67" spans="1:6" x14ac:dyDescent="0.25">
      <c r="A67" s="5" t="s">
        <v>741</v>
      </c>
      <c r="B67" s="1" t="s">
        <v>5</v>
      </c>
      <c r="C67" s="2" t="str">
        <f>"619217511980"</f>
        <v>619217511980</v>
      </c>
      <c r="D67" s="2">
        <v>12.983000000000001</v>
      </c>
      <c r="E67" s="225" t="s">
        <v>419</v>
      </c>
    </row>
    <row r="68" spans="1:6" ht="15.75" thickBot="1" x14ac:dyDescent="0.3">
      <c r="A68" s="44" t="s">
        <v>741</v>
      </c>
      <c r="B68" s="161" t="s">
        <v>5</v>
      </c>
      <c r="C68" s="51" t="str">
        <f>"619217511979"</f>
        <v>619217511979</v>
      </c>
      <c r="D68" s="51">
        <v>13.083</v>
      </c>
      <c r="E68" s="225" t="s">
        <v>419</v>
      </c>
    </row>
    <row r="69" spans="1:6" ht="15.75" thickBot="1" x14ac:dyDescent="0.3">
      <c r="A69" s="518" t="s">
        <v>741</v>
      </c>
      <c r="B69" s="1" t="s">
        <v>5</v>
      </c>
      <c r="C69" s="86" t="str">
        <f>"619217511995"</f>
        <v>619217511995</v>
      </c>
      <c r="D69" s="86">
        <v>7.85</v>
      </c>
      <c r="E69" s="46" t="s">
        <v>420</v>
      </c>
    </row>
    <row r="70" spans="1:6" ht="15.75" thickBot="1" x14ac:dyDescent="0.3">
      <c r="A70" s="385" t="s">
        <v>741</v>
      </c>
      <c r="B70" s="1" t="s">
        <v>5</v>
      </c>
      <c r="C70" s="2" t="str">
        <f>"619217511994"</f>
        <v>619217511994</v>
      </c>
      <c r="D70" s="2">
        <v>8</v>
      </c>
      <c r="E70" s="46" t="s">
        <v>420</v>
      </c>
    </row>
    <row r="71" spans="1:6" ht="15.75" thickBot="1" x14ac:dyDescent="0.3">
      <c r="A71" s="385" t="s">
        <v>741</v>
      </c>
      <c r="B71" s="1" t="s">
        <v>5</v>
      </c>
      <c r="C71" s="2" t="str">
        <f>"619217511993"</f>
        <v>619217511993</v>
      </c>
      <c r="D71" s="2">
        <v>8.0500000000000007</v>
      </c>
      <c r="E71" s="46" t="s">
        <v>420</v>
      </c>
    </row>
    <row r="72" spans="1:6" ht="15.75" thickBot="1" x14ac:dyDescent="0.3">
      <c r="A72" s="385" t="s">
        <v>741</v>
      </c>
      <c r="B72" s="1" t="s">
        <v>5</v>
      </c>
      <c r="C72" s="2" t="str">
        <f>"619217511992"</f>
        <v>619217511992</v>
      </c>
      <c r="D72" s="2">
        <v>8.9169999999999998</v>
      </c>
      <c r="E72" s="46" t="s">
        <v>420</v>
      </c>
    </row>
    <row r="73" spans="1:6" ht="15.75" thickBot="1" x14ac:dyDescent="0.3">
      <c r="A73" s="385" t="s">
        <v>741</v>
      </c>
      <c r="B73" s="1" t="s">
        <v>5</v>
      </c>
      <c r="C73" s="2" t="str">
        <f>"619217511991"</f>
        <v>619217511991</v>
      </c>
      <c r="D73" s="2">
        <v>9.0749999999999993</v>
      </c>
      <c r="E73" s="46" t="s">
        <v>420</v>
      </c>
    </row>
    <row r="74" spans="1:6" ht="15.75" thickBot="1" x14ac:dyDescent="0.3">
      <c r="A74" s="385" t="s">
        <v>741</v>
      </c>
      <c r="B74" s="1" t="s">
        <v>5</v>
      </c>
      <c r="C74" s="2" t="str">
        <f>"619217511990"</f>
        <v>619217511990</v>
      </c>
      <c r="D74" s="2">
        <v>9.3249999999999993</v>
      </c>
      <c r="E74" s="46" t="s">
        <v>420</v>
      </c>
    </row>
    <row r="75" spans="1:6" x14ac:dyDescent="0.25">
      <c r="A75" s="472" t="s">
        <v>741</v>
      </c>
      <c r="B75" s="161" t="s">
        <v>5</v>
      </c>
      <c r="C75" s="179" t="str">
        <f>"619217511989"</f>
        <v>619217511989</v>
      </c>
      <c r="D75" s="179">
        <v>10.266999999999999</v>
      </c>
      <c r="E75" s="119" t="s">
        <v>420</v>
      </c>
    </row>
    <row r="76" spans="1:6" x14ac:dyDescent="0.25">
      <c r="A76" s="520" t="s">
        <v>912</v>
      </c>
      <c r="B76" s="28" t="s">
        <v>440</v>
      </c>
      <c r="C76" s="2" t="str">
        <f>"619217512747"</f>
        <v>619217512747</v>
      </c>
      <c r="D76" s="2">
        <v>9.75</v>
      </c>
      <c r="E76" s="225" t="s">
        <v>419</v>
      </c>
      <c r="F76" s="6"/>
    </row>
    <row r="77" spans="1:6" x14ac:dyDescent="0.25">
      <c r="A77" s="520" t="s">
        <v>912</v>
      </c>
      <c r="B77" s="28" t="s">
        <v>440</v>
      </c>
      <c r="C77" s="2" t="str">
        <f>"619217512746"</f>
        <v>619217512746</v>
      </c>
      <c r="D77" s="2">
        <v>10.175000000000001</v>
      </c>
      <c r="E77" s="225" t="s">
        <v>419</v>
      </c>
      <c r="F77" s="6"/>
    </row>
    <row r="78" spans="1:6" x14ac:dyDescent="0.25">
      <c r="A78" s="520" t="s">
        <v>912</v>
      </c>
      <c r="B78" s="28" t="s">
        <v>440</v>
      </c>
      <c r="C78" s="2" t="str">
        <f>"619217512745"</f>
        <v>619217512745</v>
      </c>
      <c r="D78" s="2">
        <v>10.45</v>
      </c>
      <c r="E78" s="225" t="s">
        <v>419</v>
      </c>
      <c r="F78" s="6"/>
    </row>
    <row r="79" spans="1:6" x14ac:dyDescent="0.25">
      <c r="A79" s="520" t="s">
        <v>912</v>
      </c>
      <c r="B79" s="28" t="s">
        <v>440</v>
      </c>
      <c r="C79" s="2" t="str">
        <f>"619217512744"</f>
        <v>619217512744</v>
      </c>
      <c r="D79" s="2">
        <v>10.975</v>
      </c>
      <c r="E79" s="225" t="s">
        <v>419</v>
      </c>
      <c r="F79" s="6"/>
    </row>
    <row r="80" spans="1:6" x14ac:dyDescent="0.25">
      <c r="A80" s="520" t="s">
        <v>912</v>
      </c>
      <c r="B80" s="28" t="s">
        <v>440</v>
      </c>
      <c r="C80" s="2" t="str">
        <f>"619217512743"</f>
        <v>619217512743</v>
      </c>
      <c r="D80" s="2">
        <v>11.074999999999999</v>
      </c>
      <c r="E80" s="225" t="s">
        <v>419</v>
      </c>
      <c r="F80" s="6"/>
    </row>
    <row r="81" spans="1:7" x14ac:dyDescent="0.25">
      <c r="A81" s="520" t="s">
        <v>912</v>
      </c>
      <c r="B81" s="28" t="s">
        <v>440</v>
      </c>
      <c r="C81" s="2" t="str">
        <f>"619217512742"</f>
        <v>619217512742</v>
      </c>
      <c r="D81" s="2">
        <v>12.875</v>
      </c>
      <c r="E81" s="225" t="s">
        <v>419</v>
      </c>
      <c r="F81" s="6"/>
    </row>
    <row r="82" spans="1:7" x14ac:dyDescent="0.25">
      <c r="A82" s="520" t="s">
        <v>912</v>
      </c>
      <c r="B82" s="28" t="s">
        <v>440</v>
      </c>
      <c r="C82" s="2" t="str">
        <f>"619217372741"</f>
        <v>619217372741</v>
      </c>
      <c r="D82" s="2">
        <v>14.35</v>
      </c>
      <c r="E82" s="225" t="s">
        <v>419</v>
      </c>
      <c r="F82" s="6"/>
    </row>
    <row r="83" spans="1:7" x14ac:dyDescent="0.25">
      <c r="A83" s="520" t="s">
        <v>912</v>
      </c>
      <c r="B83" s="1" t="s">
        <v>441</v>
      </c>
      <c r="C83" s="2" t="str">
        <f>"619217512756"</f>
        <v>619217512756</v>
      </c>
      <c r="D83" s="2">
        <v>8.25</v>
      </c>
      <c r="E83" s="226" t="s">
        <v>420</v>
      </c>
      <c r="F83" s="6"/>
    </row>
    <row r="84" spans="1:7" x14ac:dyDescent="0.25">
      <c r="A84" s="520" t="s">
        <v>912</v>
      </c>
      <c r="B84" s="1" t="s">
        <v>441</v>
      </c>
      <c r="C84" s="2" t="str">
        <f>"619217512755"</f>
        <v>619217512755</v>
      </c>
      <c r="D84" s="2">
        <v>8.2750000000000004</v>
      </c>
      <c r="E84" s="226" t="s">
        <v>420</v>
      </c>
      <c r="F84" s="6"/>
    </row>
    <row r="85" spans="1:7" x14ac:dyDescent="0.25">
      <c r="A85" s="520" t="s">
        <v>912</v>
      </c>
      <c r="B85" s="29" t="s">
        <v>442</v>
      </c>
      <c r="C85" s="2" t="str">
        <f>"619217512754"</f>
        <v>619217512754</v>
      </c>
      <c r="D85" s="2">
        <v>10.275</v>
      </c>
      <c r="E85" s="225" t="s">
        <v>419</v>
      </c>
      <c r="F85" s="6"/>
      <c r="G85" s="6"/>
    </row>
    <row r="86" spans="1:7" x14ac:dyDescent="0.25">
      <c r="A86" s="520" t="s">
        <v>912</v>
      </c>
      <c r="B86" s="29" t="s">
        <v>442</v>
      </c>
      <c r="C86" s="2" t="str">
        <f>"619217372753"</f>
        <v>619217372753</v>
      </c>
      <c r="D86" s="2">
        <v>10.425000000000001</v>
      </c>
      <c r="E86" s="225" t="s">
        <v>419</v>
      </c>
      <c r="F86" s="6"/>
    </row>
    <row r="87" spans="1:7" x14ac:dyDescent="0.25">
      <c r="A87" s="520" t="s">
        <v>912</v>
      </c>
      <c r="B87" s="29" t="s">
        <v>442</v>
      </c>
      <c r="C87" s="2" t="str">
        <f>"619217512752"</f>
        <v>619217512752</v>
      </c>
      <c r="D87" s="2">
        <v>10.625</v>
      </c>
      <c r="E87" s="225" t="s">
        <v>419</v>
      </c>
      <c r="F87" s="6"/>
    </row>
    <row r="88" spans="1:7" x14ac:dyDescent="0.25">
      <c r="A88" s="520" t="s">
        <v>912</v>
      </c>
      <c r="B88" s="29" t="s">
        <v>442</v>
      </c>
      <c r="C88" s="2" t="str">
        <f>"619217512751"</f>
        <v>619217512751</v>
      </c>
      <c r="D88" s="2">
        <v>10.675000000000001</v>
      </c>
      <c r="E88" s="225" t="s">
        <v>419</v>
      </c>
      <c r="F88" s="6"/>
    </row>
    <row r="89" spans="1:7" x14ac:dyDescent="0.25">
      <c r="A89" s="520" t="s">
        <v>912</v>
      </c>
      <c r="B89" s="29" t="s">
        <v>442</v>
      </c>
      <c r="C89" s="2" t="str">
        <f>"619217512750"</f>
        <v>619217512750</v>
      </c>
      <c r="D89" s="2">
        <v>10.95</v>
      </c>
      <c r="E89" s="225" t="s">
        <v>419</v>
      </c>
      <c r="F89" s="6"/>
    </row>
    <row r="90" spans="1:7" x14ac:dyDescent="0.25">
      <c r="A90" s="520" t="s">
        <v>912</v>
      </c>
      <c r="B90" s="29" t="s">
        <v>442</v>
      </c>
      <c r="C90" s="2" t="str">
        <f>"619217512749"</f>
        <v>619217512749</v>
      </c>
      <c r="D90" s="2">
        <v>11.375</v>
      </c>
      <c r="E90" s="225" t="s">
        <v>419</v>
      </c>
      <c r="F90" s="6"/>
    </row>
    <row r="91" spans="1:7" x14ac:dyDescent="0.25">
      <c r="A91" s="520" t="s">
        <v>912</v>
      </c>
      <c r="B91" s="29" t="s">
        <v>442</v>
      </c>
      <c r="C91" s="2" t="str">
        <f>"619217512748"</f>
        <v>619217512748</v>
      </c>
      <c r="D91" s="2">
        <v>11.4</v>
      </c>
      <c r="E91" s="225" t="s">
        <v>419</v>
      </c>
      <c r="F91" s="6"/>
    </row>
    <row r="92" spans="1:7" x14ac:dyDescent="0.25">
      <c r="A92" s="520" t="s">
        <v>1100</v>
      </c>
      <c r="B92" s="29" t="str">
        <f t="shared" ref="B92:B93" si="0">B3</f>
        <v>Meede 1.1 "Tegusad inimesed ja elujõuline kogukond"</v>
      </c>
      <c r="C92">
        <v>19201800174</v>
      </c>
      <c r="D92">
        <v>2.16</v>
      </c>
      <c r="E92" s="225" t="s">
        <v>419</v>
      </c>
      <c r="F92" s="6"/>
    </row>
    <row r="93" spans="1:7" x14ac:dyDescent="0.25">
      <c r="A93" s="520" t="s">
        <v>1100</v>
      </c>
      <c r="B93" s="29" t="str">
        <f t="shared" si="0"/>
        <v>Meede 1.1 "Tegusad inimesed ja elujõuline kogukond"</v>
      </c>
      <c r="C93">
        <v>19201800175</v>
      </c>
      <c r="D93" s="2">
        <v>1.88</v>
      </c>
      <c r="E93" s="225" t="s">
        <v>419</v>
      </c>
      <c r="F93" s="6"/>
    </row>
    <row r="94" spans="1:7" x14ac:dyDescent="0.25">
      <c r="A94" s="520" t="s">
        <v>1100</v>
      </c>
      <c r="B94" s="1" t="s">
        <v>5</v>
      </c>
      <c r="C94" s="2" t="e">
        <f>[1]Sheet1!#REF!</f>
        <v>#REF!</v>
      </c>
      <c r="D94" s="2">
        <v>2.5299999999999998</v>
      </c>
      <c r="E94" s="225" t="s">
        <v>419</v>
      </c>
      <c r="F94" s="6"/>
    </row>
    <row r="95" spans="1:7" x14ac:dyDescent="0.25">
      <c r="A95" s="520" t="s">
        <v>1100</v>
      </c>
      <c r="B95" s="1" t="s">
        <v>5</v>
      </c>
      <c r="C95" s="2">
        <f>'Lõuna- Järvamaa Koostöökogu'!C116</f>
        <v>19201900211</v>
      </c>
      <c r="D95" s="2">
        <v>2.4900000000000002</v>
      </c>
      <c r="E95" s="225" t="s">
        <v>419</v>
      </c>
      <c r="F95" s="6"/>
    </row>
    <row r="96" spans="1:7" x14ac:dyDescent="0.25">
      <c r="A96" s="520" t="s">
        <v>1100</v>
      </c>
      <c r="B96" s="1" t="s">
        <v>5</v>
      </c>
      <c r="C96" s="2">
        <f>'Lõuna- Järvamaa Koostöökogu'!C117</f>
        <v>19201900199</v>
      </c>
      <c r="D96" s="2">
        <v>2.4900000000000002</v>
      </c>
      <c r="E96" s="225" t="s">
        <v>419</v>
      </c>
      <c r="F96" s="6"/>
    </row>
    <row r="97" spans="1:6" x14ac:dyDescent="0.25">
      <c r="A97" s="520" t="s">
        <v>1100</v>
      </c>
      <c r="B97" s="1" t="s">
        <v>5</v>
      </c>
      <c r="C97" s="2">
        <f>'Lõuna- Järvamaa Koostöökogu'!C118</f>
        <v>19201900194</v>
      </c>
      <c r="D97" s="2">
        <v>2.46</v>
      </c>
      <c r="E97" s="225" t="s">
        <v>419</v>
      </c>
      <c r="F97" s="6"/>
    </row>
    <row r="98" spans="1:6" x14ac:dyDescent="0.25">
      <c r="A98" s="520" t="s">
        <v>1100</v>
      </c>
      <c r="B98" s="1" t="s">
        <v>5</v>
      </c>
      <c r="C98" s="2">
        <f>'Lõuna- Järvamaa Koostöökogu'!C119</f>
        <v>19201900204</v>
      </c>
      <c r="D98" s="2">
        <v>2.1800000000000002</v>
      </c>
      <c r="E98" s="225" t="s">
        <v>419</v>
      </c>
      <c r="F98" s="6"/>
    </row>
    <row r="99" spans="1:6" x14ac:dyDescent="0.25">
      <c r="A99" s="520" t="s">
        <v>1100</v>
      </c>
      <c r="B99" s="1" t="s">
        <v>5</v>
      </c>
      <c r="C99" s="2">
        <f>'Lõuna- Järvamaa Koostöökogu'!C120</f>
        <v>19201900196</v>
      </c>
      <c r="D99" s="2">
        <v>2.06</v>
      </c>
      <c r="E99" s="225" t="s">
        <v>419</v>
      </c>
    </row>
    <row r="100" spans="1:6" x14ac:dyDescent="0.25">
      <c r="A100" s="520" t="s">
        <v>1100</v>
      </c>
      <c r="B100" s="1" t="s">
        <v>5</v>
      </c>
      <c r="C100" s="2">
        <f>'Lõuna- Järvamaa Koostöökogu'!C121</f>
        <v>19201900197</v>
      </c>
      <c r="D100" s="2">
        <v>1.84</v>
      </c>
      <c r="E100" s="226" t="s">
        <v>420</v>
      </c>
    </row>
    <row r="101" spans="1:6" x14ac:dyDescent="0.25">
      <c r="A101" s="2" t="s">
        <v>1130</v>
      </c>
      <c r="B101" s="256" t="s">
        <v>440</v>
      </c>
      <c r="C101" s="2">
        <v>19201800735</v>
      </c>
      <c r="D101" s="26">
        <v>2.56</v>
      </c>
      <c r="E101" s="225" t="s">
        <v>419</v>
      </c>
    </row>
    <row r="102" spans="1:6" x14ac:dyDescent="0.25">
      <c r="A102" s="2" t="s">
        <v>1130</v>
      </c>
      <c r="B102" s="256" t="s">
        <v>440</v>
      </c>
      <c r="C102" s="2">
        <v>19201800740</v>
      </c>
      <c r="D102" s="26">
        <v>2.46</v>
      </c>
      <c r="E102" s="225" t="s">
        <v>419</v>
      </c>
    </row>
    <row r="103" spans="1:6" x14ac:dyDescent="0.25">
      <c r="A103" s="2" t="s">
        <v>1130</v>
      </c>
      <c r="B103" s="256" t="s">
        <v>440</v>
      </c>
      <c r="C103" s="2">
        <v>19201800720</v>
      </c>
      <c r="D103" s="26">
        <v>2.4300000000000002</v>
      </c>
      <c r="E103" s="225" t="s">
        <v>419</v>
      </c>
    </row>
    <row r="104" spans="1:6" x14ac:dyDescent="0.25">
      <c r="A104" s="2" t="s">
        <v>1130</v>
      </c>
      <c r="B104" s="256" t="s">
        <v>440</v>
      </c>
      <c r="C104" s="2">
        <v>19201800745</v>
      </c>
      <c r="D104" s="26">
        <v>2.34</v>
      </c>
      <c r="E104" s="225" t="s">
        <v>419</v>
      </c>
    </row>
    <row r="105" spans="1:6" x14ac:dyDescent="0.25">
      <c r="A105" s="2" t="s">
        <v>1130</v>
      </c>
      <c r="B105" s="256" t="s">
        <v>440</v>
      </c>
      <c r="C105" s="2">
        <v>19201800736</v>
      </c>
      <c r="D105" s="26">
        <v>2.2799999999999998</v>
      </c>
      <c r="E105" s="225" t="s">
        <v>419</v>
      </c>
    </row>
    <row r="106" spans="1:6" x14ac:dyDescent="0.25">
      <c r="A106" s="2" t="s">
        <v>1130</v>
      </c>
      <c r="B106" s="256" t="s">
        <v>440</v>
      </c>
      <c r="C106" s="2">
        <v>19201800727</v>
      </c>
      <c r="D106" s="26">
        <v>2.14</v>
      </c>
      <c r="E106" s="225" t="s">
        <v>419</v>
      </c>
    </row>
    <row r="107" spans="1:6" x14ac:dyDescent="0.25">
      <c r="A107" s="2" t="s">
        <v>1130</v>
      </c>
      <c r="B107" s="256" t="s">
        <v>440</v>
      </c>
      <c r="C107" s="2">
        <v>19201800806</v>
      </c>
      <c r="D107" s="26">
        <v>2.04</v>
      </c>
      <c r="E107" s="225" t="s">
        <v>419</v>
      </c>
    </row>
    <row r="108" spans="1:6" x14ac:dyDescent="0.25">
      <c r="A108" s="613" t="s">
        <v>1130</v>
      </c>
      <c r="B108" s="256" t="s">
        <v>440</v>
      </c>
      <c r="C108" s="2">
        <v>19201800743</v>
      </c>
      <c r="D108" s="26">
        <v>1.97</v>
      </c>
      <c r="E108" s="225" t="s">
        <v>419</v>
      </c>
    </row>
    <row r="109" spans="1:6" x14ac:dyDescent="0.25">
      <c r="A109" s="2" t="s">
        <v>1130</v>
      </c>
      <c r="B109" s="256" t="s">
        <v>440</v>
      </c>
      <c r="C109" s="2">
        <v>19201800737</v>
      </c>
      <c r="D109" s="26">
        <v>1.92</v>
      </c>
      <c r="E109" s="225" t="s">
        <v>419</v>
      </c>
    </row>
    <row r="110" spans="1:6" x14ac:dyDescent="0.25">
      <c r="A110" s="2" t="s">
        <v>1130</v>
      </c>
      <c r="B110" s="256" t="s">
        <v>440</v>
      </c>
      <c r="C110" s="2">
        <v>19201800741</v>
      </c>
      <c r="D110" s="26">
        <v>1.87</v>
      </c>
      <c r="E110" s="225" t="s">
        <v>419</v>
      </c>
    </row>
    <row r="111" spans="1:6" x14ac:dyDescent="0.25">
      <c r="A111" s="2" t="s">
        <v>1130</v>
      </c>
      <c r="B111" s="256" t="s">
        <v>440</v>
      </c>
      <c r="C111" s="2">
        <v>19201800742</v>
      </c>
      <c r="D111" s="26">
        <v>1.75</v>
      </c>
      <c r="E111" s="226" t="s">
        <v>420</v>
      </c>
    </row>
    <row r="112" spans="1:6" x14ac:dyDescent="0.25">
      <c r="A112" s="2" t="s">
        <v>1130</v>
      </c>
      <c r="B112" s="256" t="s">
        <v>440</v>
      </c>
      <c r="C112" s="2">
        <v>19201800718</v>
      </c>
      <c r="D112" s="26">
        <v>1.71</v>
      </c>
      <c r="E112" s="226" t="s">
        <v>420</v>
      </c>
    </row>
    <row r="113" spans="1:5" x14ac:dyDescent="0.25">
      <c r="A113" s="2" t="s">
        <v>1130</v>
      </c>
      <c r="B113" s="2" t="s">
        <v>442</v>
      </c>
      <c r="C113" s="2">
        <v>19201800726</v>
      </c>
      <c r="D113" s="2">
        <v>2.14</v>
      </c>
      <c r="E113" s="225" t="s">
        <v>419</v>
      </c>
    </row>
    <row r="114" spans="1:5" x14ac:dyDescent="0.25">
      <c r="A114" s="2" t="s">
        <v>1130</v>
      </c>
      <c r="B114" s="2" t="s">
        <v>442</v>
      </c>
      <c r="C114" s="2">
        <v>19201800723</v>
      </c>
      <c r="D114" s="2">
        <v>1.89</v>
      </c>
      <c r="E114" s="225" t="s">
        <v>419</v>
      </c>
    </row>
    <row r="115" spans="1:5" x14ac:dyDescent="0.25">
      <c r="A115" s="2" t="s">
        <v>1130</v>
      </c>
      <c r="B115" s="2" t="s">
        <v>442</v>
      </c>
      <c r="C115" s="2">
        <v>19201800719</v>
      </c>
      <c r="D115" s="2">
        <v>1.82</v>
      </c>
      <c r="E115" s="225" t="s">
        <v>419</v>
      </c>
    </row>
    <row r="116" spans="1:5" x14ac:dyDescent="0.25">
      <c r="A116" s="613" t="s">
        <v>1176</v>
      </c>
      <c r="B116" s="2" t="s">
        <v>5</v>
      </c>
      <c r="C116" s="2">
        <v>19201900211</v>
      </c>
      <c r="D116" s="2">
        <v>2.4900000000000002</v>
      </c>
      <c r="E116" s="225" t="s">
        <v>419</v>
      </c>
    </row>
    <row r="117" spans="1:5" x14ac:dyDescent="0.25">
      <c r="A117" s="613" t="s">
        <v>1176</v>
      </c>
      <c r="B117" s="2" t="s">
        <v>5</v>
      </c>
      <c r="C117" s="2">
        <v>19201900199</v>
      </c>
      <c r="D117" s="2">
        <v>2.39</v>
      </c>
      <c r="E117" s="225" t="s">
        <v>419</v>
      </c>
    </row>
    <row r="118" spans="1:5" x14ac:dyDescent="0.25">
      <c r="A118" s="613" t="s">
        <v>1176</v>
      </c>
      <c r="B118" s="2" t="s">
        <v>5</v>
      </c>
      <c r="C118" s="2">
        <v>19201900194</v>
      </c>
      <c r="D118" s="2">
        <v>2.38</v>
      </c>
      <c r="E118" s="225" t="s">
        <v>419</v>
      </c>
    </row>
    <row r="119" spans="1:5" x14ac:dyDescent="0.25">
      <c r="A119" s="613" t="s">
        <v>1176</v>
      </c>
      <c r="B119" s="2" t="s">
        <v>5</v>
      </c>
      <c r="C119" s="2">
        <v>19201900204</v>
      </c>
      <c r="D119" s="2">
        <v>2.37</v>
      </c>
      <c r="E119" s="225" t="s">
        <v>419</v>
      </c>
    </row>
    <row r="120" spans="1:5" x14ac:dyDescent="0.25">
      <c r="A120" s="613" t="s">
        <v>1176</v>
      </c>
      <c r="B120" s="2" t="s">
        <v>5</v>
      </c>
      <c r="C120" s="2">
        <v>19201900196</v>
      </c>
      <c r="D120" s="2">
        <v>2.34</v>
      </c>
      <c r="E120" s="226" t="s">
        <v>420</v>
      </c>
    </row>
    <row r="121" spans="1:5" x14ac:dyDescent="0.25">
      <c r="A121" s="613" t="s">
        <v>1176</v>
      </c>
      <c r="B121" s="2" t="s">
        <v>5</v>
      </c>
      <c r="C121" s="2">
        <v>19201900197</v>
      </c>
      <c r="D121" s="2">
        <v>2.3199999999999998</v>
      </c>
      <c r="E121" s="226" t="s">
        <v>420</v>
      </c>
    </row>
    <row r="122" spans="1:5" x14ac:dyDescent="0.25">
      <c r="A122" s="613" t="s">
        <v>1176</v>
      </c>
      <c r="B122" s="2" t="s">
        <v>5</v>
      </c>
      <c r="C122" s="2">
        <v>19201900214</v>
      </c>
      <c r="D122" s="2">
        <v>2.3199999999999998</v>
      </c>
      <c r="E122" s="226" t="s">
        <v>420</v>
      </c>
    </row>
    <row r="123" spans="1:5" x14ac:dyDescent="0.25">
      <c r="A123" s="613" t="s">
        <v>1176</v>
      </c>
      <c r="B123" s="2" t="s">
        <v>5</v>
      </c>
      <c r="C123" s="2">
        <v>19201900209</v>
      </c>
      <c r="D123" s="2">
        <v>2.2999999999999998</v>
      </c>
      <c r="E123" s="226" t="s">
        <v>420</v>
      </c>
    </row>
    <row r="124" spans="1:5" x14ac:dyDescent="0.25">
      <c r="A124" s="613" t="s">
        <v>1176</v>
      </c>
      <c r="B124" s="2" t="s">
        <v>5</v>
      </c>
      <c r="C124" s="2">
        <v>19201900185</v>
      </c>
      <c r="D124" s="2">
        <v>2.23</v>
      </c>
      <c r="E124" s="226" t="s">
        <v>420</v>
      </c>
    </row>
    <row r="125" spans="1:5" x14ac:dyDescent="0.25">
      <c r="A125" s="613" t="s">
        <v>1176</v>
      </c>
      <c r="B125" s="2" t="s">
        <v>5</v>
      </c>
      <c r="C125" s="2">
        <v>19201900203</v>
      </c>
      <c r="D125" s="2">
        <v>2.2200000000000002</v>
      </c>
      <c r="E125" s="226" t="s">
        <v>420</v>
      </c>
    </row>
    <row r="126" spans="1:5" x14ac:dyDescent="0.25">
      <c r="A126" s="613" t="s">
        <v>1176</v>
      </c>
      <c r="B126" s="2" t="s">
        <v>5</v>
      </c>
      <c r="C126" s="2">
        <v>19201900202</v>
      </c>
      <c r="D126" s="2">
        <v>2.21</v>
      </c>
      <c r="E126" s="226" t="s">
        <v>420</v>
      </c>
    </row>
    <row r="127" spans="1:5" x14ac:dyDescent="0.25">
      <c r="A127" s="613" t="s">
        <v>1176</v>
      </c>
      <c r="B127" s="2" t="s">
        <v>5</v>
      </c>
      <c r="C127" s="2">
        <v>19201900198</v>
      </c>
      <c r="D127" s="2">
        <v>2.19</v>
      </c>
      <c r="E127" s="226" t="s">
        <v>420</v>
      </c>
    </row>
    <row r="128" spans="1:5" x14ac:dyDescent="0.25">
      <c r="A128" s="613" t="s">
        <v>1176</v>
      </c>
      <c r="B128" s="2" t="s">
        <v>5</v>
      </c>
      <c r="C128" s="2">
        <v>19201900142</v>
      </c>
      <c r="D128" s="2">
        <v>2.1800000000000002</v>
      </c>
      <c r="E128" s="226" t="s">
        <v>420</v>
      </c>
    </row>
    <row r="129" spans="1:5" x14ac:dyDescent="0.25">
      <c r="A129" s="613" t="s">
        <v>1176</v>
      </c>
      <c r="B129" s="2" t="s">
        <v>5</v>
      </c>
      <c r="C129" s="2">
        <v>19201900179</v>
      </c>
      <c r="D129" s="2">
        <v>2.1800000000000002</v>
      </c>
      <c r="E129" s="226" t="s">
        <v>420</v>
      </c>
    </row>
    <row r="130" spans="1:5" x14ac:dyDescent="0.25">
      <c r="A130" s="613" t="s">
        <v>1176</v>
      </c>
      <c r="B130" s="2" t="s">
        <v>5</v>
      </c>
      <c r="C130" s="2">
        <v>19201900189</v>
      </c>
      <c r="D130" s="2">
        <v>2.1</v>
      </c>
      <c r="E130" s="226" t="s">
        <v>420</v>
      </c>
    </row>
    <row r="131" spans="1:5" x14ac:dyDescent="0.25">
      <c r="A131" s="613" t="s">
        <v>1176</v>
      </c>
      <c r="B131" s="2" t="s">
        <v>5</v>
      </c>
      <c r="C131" s="2">
        <v>19201900201</v>
      </c>
      <c r="D131" s="2">
        <v>1.92</v>
      </c>
      <c r="E131" s="226" t="s">
        <v>420</v>
      </c>
    </row>
    <row r="132" spans="1:5" x14ac:dyDescent="0.25">
      <c r="A132" s="613" t="s">
        <v>1176</v>
      </c>
      <c r="B132" s="2" t="s">
        <v>4</v>
      </c>
      <c r="C132" s="2">
        <v>19201900210</v>
      </c>
      <c r="D132" s="2">
        <v>2.3199999999999998</v>
      </c>
      <c r="E132" s="225" t="s">
        <v>419</v>
      </c>
    </row>
    <row r="133" spans="1:5" x14ac:dyDescent="0.25">
      <c r="A133" s="613" t="s">
        <v>1176</v>
      </c>
      <c r="B133" s="2" t="s">
        <v>4</v>
      </c>
      <c r="C133" s="2">
        <v>19201900195</v>
      </c>
      <c r="D133" s="2">
        <v>2.29</v>
      </c>
      <c r="E133" s="225" t="s">
        <v>419</v>
      </c>
    </row>
    <row r="134" spans="1:5" x14ac:dyDescent="0.25">
      <c r="A134" s="613" t="s">
        <v>1176</v>
      </c>
      <c r="B134" s="2" t="s">
        <v>4</v>
      </c>
      <c r="C134" s="2">
        <v>19201900192</v>
      </c>
      <c r="D134" s="2">
        <v>2.27</v>
      </c>
      <c r="E134" s="225" t="s">
        <v>419</v>
      </c>
    </row>
    <row r="135" spans="1:5" x14ac:dyDescent="0.25">
      <c r="A135" s="613" t="s">
        <v>1192</v>
      </c>
      <c r="B135" s="256" t="s">
        <v>440</v>
      </c>
      <c r="C135" s="2">
        <v>19201900653</v>
      </c>
      <c r="D135" s="2">
        <v>2.5299999999999998</v>
      </c>
      <c r="E135" s="225" t="s">
        <v>419</v>
      </c>
    </row>
    <row r="136" spans="1:5" x14ac:dyDescent="0.25">
      <c r="A136" s="2" t="s">
        <v>1192</v>
      </c>
      <c r="B136" s="256" t="s">
        <v>440</v>
      </c>
      <c r="C136" s="2">
        <v>19201900658</v>
      </c>
      <c r="D136" s="2">
        <v>2.4900000000000002</v>
      </c>
      <c r="E136" s="225" t="s">
        <v>419</v>
      </c>
    </row>
    <row r="137" spans="1:5" x14ac:dyDescent="0.25">
      <c r="A137" s="2" t="s">
        <v>1192</v>
      </c>
      <c r="B137" s="256" t="s">
        <v>440</v>
      </c>
      <c r="C137" s="2">
        <v>19201900663</v>
      </c>
      <c r="D137" s="2">
        <v>2.31</v>
      </c>
      <c r="E137" s="225" t="s">
        <v>419</v>
      </c>
    </row>
    <row r="138" spans="1:5" x14ac:dyDescent="0.25">
      <c r="A138" s="2" t="s">
        <v>1192</v>
      </c>
      <c r="B138" s="256" t="s">
        <v>440</v>
      </c>
      <c r="C138" s="2">
        <v>19201900648</v>
      </c>
      <c r="D138" s="2">
        <v>2.2799999999999998</v>
      </c>
      <c r="E138" s="225" t="s">
        <v>419</v>
      </c>
    </row>
    <row r="139" spans="1:5" x14ac:dyDescent="0.25">
      <c r="A139" s="613" t="s">
        <v>1192</v>
      </c>
      <c r="B139" s="256" t="s">
        <v>440</v>
      </c>
      <c r="C139" s="2">
        <v>19201900660</v>
      </c>
      <c r="D139" s="2">
        <v>2.23</v>
      </c>
      <c r="E139" s="225" t="s">
        <v>419</v>
      </c>
    </row>
    <row r="140" spans="1:5" x14ac:dyDescent="0.25">
      <c r="A140" s="2" t="s">
        <v>1192</v>
      </c>
      <c r="B140" s="256" t="s">
        <v>440</v>
      </c>
      <c r="C140" s="2">
        <v>19201900666</v>
      </c>
      <c r="D140" s="2">
        <v>2.16</v>
      </c>
      <c r="E140" s="225" t="s">
        <v>419</v>
      </c>
    </row>
    <row r="141" spans="1:5" x14ac:dyDescent="0.25">
      <c r="A141" s="2" t="s">
        <v>1192</v>
      </c>
      <c r="B141" s="256" t="s">
        <v>440</v>
      </c>
      <c r="C141" s="2">
        <v>19201900650</v>
      </c>
      <c r="D141" s="2">
        <v>2.13</v>
      </c>
      <c r="E141" s="225" t="s">
        <v>419</v>
      </c>
    </row>
    <row r="142" spans="1:5" x14ac:dyDescent="0.25">
      <c r="A142" s="2" t="s">
        <v>1192</v>
      </c>
      <c r="B142" s="256" t="s">
        <v>440</v>
      </c>
      <c r="C142" s="2">
        <v>19201900656</v>
      </c>
      <c r="D142" s="2">
        <v>2.08</v>
      </c>
      <c r="E142" s="225" t="s">
        <v>419</v>
      </c>
    </row>
    <row r="143" spans="1:5" x14ac:dyDescent="0.25">
      <c r="A143" s="613" t="s">
        <v>1192</v>
      </c>
      <c r="B143" s="256" t="s">
        <v>440</v>
      </c>
      <c r="C143" s="2">
        <v>19201900664</v>
      </c>
      <c r="D143" s="2">
        <v>2.0699999999999998</v>
      </c>
      <c r="E143" s="225" t="s">
        <v>419</v>
      </c>
    </row>
    <row r="144" spans="1:5" x14ac:dyDescent="0.25">
      <c r="A144" s="2" t="s">
        <v>1192</v>
      </c>
      <c r="B144" s="256" t="s">
        <v>440</v>
      </c>
      <c r="C144" s="2">
        <v>19201900657</v>
      </c>
      <c r="D144" s="2">
        <v>2.0499999999999998</v>
      </c>
      <c r="E144" s="225" t="s">
        <v>419</v>
      </c>
    </row>
    <row r="145" spans="1:5" x14ac:dyDescent="0.25">
      <c r="A145" s="2" t="s">
        <v>1192</v>
      </c>
      <c r="B145" s="256" t="s">
        <v>440</v>
      </c>
      <c r="C145" s="2">
        <v>19201900654</v>
      </c>
      <c r="D145" s="2">
        <v>1.96</v>
      </c>
      <c r="E145" s="226" t="s">
        <v>420</v>
      </c>
    </row>
    <row r="146" spans="1:5" x14ac:dyDescent="0.25">
      <c r="A146" s="2" t="s">
        <v>1192</v>
      </c>
      <c r="B146" s="256" t="s">
        <v>440</v>
      </c>
      <c r="C146" s="2">
        <v>19201900659</v>
      </c>
      <c r="D146" s="2">
        <v>1.91</v>
      </c>
      <c r="E146" s="226" t="s">
        <v>420</v>
      </c>
    </row>
    <row r="147" spans="1:5" x14ac:dyDescent="0.25">
      <c r="A147" s="2" t="s">
        <v>1192</v>
      </c>
      <c r="B147" s="256" t="s">
        <v>440</v>
      </c>
      <c r="C147" s="2">
        <v>19201900655</v>
      </c>
      <c r="D147" s="2">
        <v>1.85</v>
      </c>
      <c r="E147" s="226" t="s">
        <v>420</v>
      </c>
    </row>
    <row r="148" spans="1:5" x14ac:dyDescent="0.25">
      <c r="A148" s="2" t="s">
        <v>1192</v>
      </c>
      <c r="B148" s="256" t="s">
        <v>440</v>
      </c>
      <c r="C148" s="2">
        <v>19201900649</v>
      </c>
      <c r="D148" s="2">
        <v>1.78</v>
      </c>
      <c r="E148" s="226" t="s">
        <v>420</v>
      </c>
    </row>
    <row r="149" spans="1:5" x14ac:dyDescent="0.25">
      <c r="A149" s="2" t="s">
        <v>1192</v>
      </c>
      <c r="B149" s="256" t="s">
        <v>440</v>
      </c>
      <c r="C149" s="2">
        <v>19201900661</v>
      </c>
      <c r="D149" s="2">
        <v>1.64</v>
      </c>
      <c r="E149" s="226" t="s">
        <v>420</v>
      </c>
    </row>
    <row r="150" spans="1:5" x14ac:dyDescent="0.25">
      <c r="A150" s="2" t="s">
        <v>1192</v>
      </c>
      <c r="B150" s="256" t="s">
        <v>442</v>
      </c>
      <c r="C150" s="2">
        <v>19201900651</v>
      </c>
      <c r="D150" s="2">
        <v>2.46</v>
      </c>
      <c r="E150" s="225" t="s">
        <v>419</v>
      </c>
    </row>
    <row r="151" spans="1:5" x14ac:dyDescent="0.25">
      <c r="A151" s="2" t="s">
        <v>1192</v>
      </c>
      <c r="B151" s="256" t="s">
        <v>442</v>
      </c>
      <c r="C151" s="2">
        <v>19201900662</v>
      </c>
      <c r="D151" s="2">
        <v>2.44</v>
      </c>
      <c r="E151" s="225" t="s">
        <v>419</v>
      </c>
    </row>
    <row r="152" spans="1:5" x14ac:dyDescent="0.25">
      <c r="A152" s="2" t="s">
        <v>1192</v>
      </c>
      <c r="B152" s="256" t="s">
        <v>442</v>
      </c>
      <c r="C152" s="2">
        <v>19201900652</v>
      </c>
      <c r="D152" s="2">
        <v>2.2799999999999998</v>
      </c>
      <c r="E152" s="225" t="s">
        <v>419</v>
      </c>
    </row>
    <row r="153" spans="1:5" x14ac:dyDescent="0.25">
      <c r="A153" s="2" t="s">
        <v>1192</v>
      </c>
      <c r="B153" s="256" t="s">
        <v>442</v>
      </c>
      <c r="C153" s="2">
        <v>19201900647</v>
      </c>
      <c r="D153" s="2">
        <v>1.82</v>
      </c>
      <c r="E153" s="225" t="s">
        <v>419</v>
      </c>
    </row>
    <row r="154" spans="1:5" x14ac:dyDescent="0.25">
      <c r="A154" s="2" t="s">
        <v>1253</v>
      </c>
      <c r="B154" s="2" t="s">
        <v>1254</v>
      </c>
      <c r="C154" s="2">
        <v>19202000628</v>
      </c>
      <c r="D154" s="2">
        <v>2.5099999999999998</v>
      </c>
      <c r="E154" s="225" t="s">
        <v>419</v>
      </c>
    </row>
    <row r="155" spans="1:5" x14ac:dyDescent="0.25">
      <c r="A155" s="2" t="s">
        <v>1253</v>
      </c>
      <c r="B155" s="2" t="s">
        <v>1254</v>
      </c>
      <c r="C155" s="2">
        <v>19202000624</v>
      </c>
      <c r="D155" s="2">
        <v>2.2999999999999998</v>
      </c>
      <c r="E155" s="225" t="s">
        <v>419</v>
      </c>
    </row>
    <row r="156" spans="1:5" x14ac:dyDescent="0.25">
      <c r="A156" s="2" t="s">
        <v>1253</v>
      </c>
      <c r="B156" s="2" t="s">
        <v>1254</v>
      </c>
      <c r="C156" s="2">
        <v>19202000625</v>
      </c>
      <c r="D156" s="2">
        <v>2.29</v>
      </c>
      <c r="E156" s="225" t="s">
        <v>419</v>
      </c>
    </row>
    <row r="157" spans="1:5" x14ac:dyDescent="0.25">
      <c r="A157" s="2" t="s">
        <v>1253</v>
      </c>
      <c r="B157" s="2" t="s">
        <v>1254</v>
      </c>
      <c r="C157" s="2">
        <v>19202000629</v>
      </c>
      <c r="D157" s="2">
        <v>2.2599999999999998</v>
      </c>
      <c r="E157" s="225" t="s">
        <v>419</v>
      </c>
    </row>
    <row r="158" spans="1:5" x14ac:dyDescent="0.25">
      <c r="A158" s="2" t="s">
        <v>1253</v>
      </c>
      <c r="B158" s="2" t="s">
        <v>1254</v>
      </c>
      <c r="C158" s="2">
        <v>19202000630</v>
      </c>
      <c r="D158" s="2">
        <v>2.2000000000000002</v>
      </c>
      <c r="E158" s="225" t="s">
        <v>419</v>
      </c>
    </row>
    <row r="159" spans="1:5" x14ac:dyDescent="0.25">
      <c r="A159" s="2" t="s">
        <v>1253</v>
      </c>
      <c r="B159" s="2" t="s">
        <v>1254</v>
      </c>
      <c r="C159" s="2">
        <v>19202000635</v>
      </c>
      <c r="D159" s="2">
        <v>2.17</v>
      </c>
      <c r="E159" s="225" t="s">
        <v>419</v>
      </c>
    </row>
    <row r="160" spans="1:5" x14ac:dyDescent="0.25">
      <c r="A160" s="2" t="s">
        <v>1253</v>
      </c>
      <c r="B160" s="2" t="s">
        <v>1254</v>
      </c>
      <c r="C160" s="2">
        <v>19202000626</v>
      </c>
      <c r="D160" s="2">
        <v>2.16</v>
      </c>
      <c r="E160" s="225" t="s">
        <v>419</v>
      </c>
    </row>
    <row r="161" spans="1:5" x14ac:dyDescent="0.25">
      <c r="A161" s="2" t="s">
        <v>1253</v>
      </c>
      <c r="B161" s="2" t="s">
        <v>1254</v>
      </c>
      <c r="C161" s="2">
        <v>19202000634</v>
      </c>
      <c r="D161" s="2">
        <v>2.09</v>
      </c>
      <c r="E161" s="225" t="s">
        <v>419</v>
      </c>
    </row>
    <row r="162" spans="1:5" x14ac:dyDescent="0.25">
      <c r="A162" s="2" t="s">
        <v>1253</v>
      </c>
      <c r="B162" s="2" t="s">
        <v>1254</v>
      </c>
      <c r="C162" s="2">
        <v>19202000631</v>
      </c>
      <c r="D162" s="2">
        <v>2.0299999999999998</v>
      </c>
      <c r="E162" s="225" t="s">
        <v>419</v>
      </c>
    </row>
    <row r="163" spans="1:5" x14ac:dyDescent="0.25">
      <c r="A163" s="2" t="s">
        <v>1253</v>
      </c>
      <c r="B163" s="2" t="s">
        <v>1254</v>
      </c>
      <c r="C163" s="2">
        <v>19202000636</v>
      </c>
      <c r="D163" s="2">
        <v>2.0099999999999998</v>
      </c>
      <c r="E163" s="225" t="s">
        <v>419</v>
      </c>
    </row>
    <row r="164" spans="1:5" x14ac:dyDescent="0.25">
      <c r="A164" s="2" t="s">
        <v>1253</v>
      </c>
      <c r="B164" s="2" t="s">
        <v>1254</v>
      </c>
      <c r="C164" s="2">
        <v>19202000632</v>
      </c>
      <c r="D164" s="2">
        <v>1.97</v>
      </c>
      <c r="E164" s="226" t="s">
        <v>420</v>
      </c>
    </row>
    <row r="165" spans="1:5" x14ac:dyDescent="0.25">
      <c r="A165" s="2" t="s">
        <v>1253</v>
      </c>
      <c r="B165" s="2" t="s">
        <v>1254</v>
      </c>
      <c r="C165" s="2">
        <v>19202000623</v>
      </c>
      <c r="D165" s="2">
        <v>1.87</v>
      </c>
      <c r="E165" s="226" t="s">
        <v>420</v>
      </c>
    </row>
    <row r="166" spans="1:5" x14ac:dyDescent="0.25">
      <c r="A166" s="2" t="s">
        <v>1253</v>
      </c>
      <c r="B166" s="2" t="s">
        <v>1254</v>
      </c>
      <c r="C166" s="2">
        <v>19202000622</v>
      </c>
      <c r="D166" s="2">
        <v>1.69</v>
      </c>
      <c r="E166" s="226" t="s">
        <v>420</v>
      </c>
    </row>
    <row r="167" spans="1:5" x14ac:dyDescent="0.25">
      <c r="A167" s="2" t="s">
        <v>1253</v>
      </c>
      <c r="B167" s="2" t="s">
        <v>1254</v>
      </c>
      <c r="C167" s="2">
        <v>19202000633</v>
      </c>
      <c r="D167" s="2">
        <v>1.67</v>
      </c>
      <c r="E167" s="226" t="s">
        <v>420</v>
      </c>
    </row>
    <row r="168" spans="1:5" x14ac:dyDescent="0.25">
      <c r="A168" s="181" t="s">
        <v>1313</v>
      </c>
      <c r="B168" s="181" t="s">
        <v>1312</v>
      </c>
      <c r="C168" s="2">
        <v>19202100293</v>
      </c>
      <c r="D168" s="2">
        <v>2.82</v>
      </c>
      <c r="E168" s="225" t="s">
        <v>419</v>
      </c>
    </row>
    <row r="169" spans="1:5" x14ac:dyDescent="0.25">
      <c r="A169" s="181" t="s">
        <v>1313</v>
      </c>
      <c r="B169" s="181" t="s">
        <v>1312</v>
      </c>
      <c r="C169" s="2">
        <v>19202100298</v>
      </c>
      <c r="D169" s="2">
        <v>2.74</v>
      </c>
      <c r="E169" s="225" t="s">
        <v>419</v>
      </c>
    </row>
    <row r="170" spans="1:5" x14ac:dyDescent="0.25">
      <c r="A170" s="181" t="s">
        <v>1313</v>
      </c>
      <c r="B170" s="181" t="s">
        <v>1312</v>
      </c>
      <c r="C170" s="2">
        <v>19202100296</v>
      </c>
      <c r="D170" s="2">
        <v>2.64</v>
      </c>
      <c r="E170" s="225" t="s">
        <v>419</v>
      </c>
    </row>
    <row r="171" spans="1:5" x14ac:dyDescent="0.25">
      <c r="A171" s="181" t="s">
        <v>1313</v>
      </c>
      <c r="B171" s="181" t="s">
        <v>1312</v>
      </c>
      <c r="C171" s="2">
        <v>19202100295</v>
      </c>
      <c r="D171" s="2">
        <v>2</v>
      </c>
      <c r="E171" s="225" t="s">
        <v>419</v>
      </c>
    </row>
    <row r="172" spans="1:5" x14ac:dyDescent="0.25">
      <c r="A172" s="181" t="s">
        <v>1314</v>
      </c>
      <c r="B172" s="2" t="s">
        <v>1254</v>
      </c>
      <c r="C172" s="2">
        <v>19202100311</v>
      </c>
      <c r="D172" s="2">
        <v>2.52</v>
      </c>
      <c r="E172" s="225" t="s">
        <v>419</v>
      </c>
    </row>
    <row r="173" spans="1:5" x14ac:dyDescent="0.25">
      <c r="A173" s="181" t="s">
        <v>1314</v>
      </c>
      <c r="B173" s="2" t="s">
        <v>1254</v>
      </c>
      <c r="C173" s="2">
        <v>19202100304</v>
      </c>
      <c r="D173" s="2">
        <v>2.36</v>
      </c>
      <c r="E173" s="225" t="s">
        <v>419</v>
      </c>
    </row>
    <row r="174" spans="1:5" x14ac:dyDescent="0.25">
      <c r="A174" s="181" t="s">
        <v>1314</v>
      </c>
      <c r="B174" s="2" t="s">
        <v>1254</v>
      </c>
      <c r="C174" s="2">
        <v>19202100313</v>
      </c>
      <c r="D174" s="2">
        <v>2.36</v>
      </c>
      <c r="E174" s="225" t="s">
        <v>419</v>
      </c>
    </row>
    <row r="175" spans="1:5" x14ac:dyDescent="0.25">
      <c r="A175" s="181" t="s">
        <v>1314</v>
      </c>
      <c r="B175" s="2" t="s">
        <v>1254</v>
      </c>
      <c r="C175" s="2">
        <v>19202100305</v>
      </c>
      <c r="D175" s="2">
        <v>2.3199999999999998</v>
      </c>
      <c r="E175" s="225" t="s">
        <v>419</v>
      </c>
    </row>
    <row r="176" spans="1:5" x14ac:dyDescent="0.25">
      <c r="A176" s="181" t="s">
        <v>1314</v>
      </c>
      <c r="B176" s="2" t="s">
        <v>1254</v>
      </c>
      <c r="C176" s="2">
        <v>19202100307</v>
      </c>
      <c r="D176" s="2">
        <v>2.2799999999999998</v>
      </c>
      <c r="E176" s="225" t="s">
        <v>419</v>
      </c>
    </row>
    <row r="177" spans="1:5" x14ac:dyDescent="0.25">
      <c r="A177" s="181" t="s">
        <v>1314</v>
      </c>
      <c r="B177" s="2" t="s">
        <v>1254</v>
      </c>
      <c r="C177" s="2">
        <v>19202100264</v>
      </c>
      <c r="D177" s="2">
        <v>2.2599999999999998</v>
      </c>
      <c r="E177" s="225" t="s">
        <v>419</v>
      </c>
    </row>
    <row r="178" spans="1:5" x14ac:dyDescent="0.25">
      <c r="A178" s="181" t="s">
        <v>1314</v>
      </c>
      <c r="B178" s="2" t="s">
        <v>1254</v>
      </c>
      <c r="C178" s="2">
        <v>19202100308</v>
      </c>
      <c r="D178" s="2">
        <v>2.25</v>
      </c>
      <c r="E178" s="225" t="s">
        <v>419</v>
      </c>
    </row>
    <row r="179" spans="1:5" x14ac:dyDescent="0.25">
      <c r="A179" s="181" t="s">
        <v>1314</v>
      </c>
      <c r="B179" s="2" t="s">
        <v>1254</v>
      </c>
      <c r="C179" s="2">
        <v>19202100299</v>
      </c>
      <c r="D179" s="2">
        <v>2.2000000000000002</v>
      </c>
      <c r="E179" s="225" t="s">
        <v>419</v>
      </c>
    </row>
    <row r="180" spans="1:5" x14ac:dyDescent="0.25">
      <c r="A180" s="181" t="s">
        <v>1314</v>
      </c>
      <c r="B180" s="2" t="s">
        <v>1254</v>
      </c>
      <c r="C180" s="2">
        <v>19202100300</v>
      </c>
      <c r="D180" s="2">
        <v>2.0499999999999998</v>
      </c>
      <c r="E180" s="225" t="s">
        <v>419</v>
      </c>
    </row>
    <row r="181" spans="1:5" x14ac:dyDescent="0.25">
      <c r="A181" s="181" t="s">
        <v>1314</v>
      </c>
      <c r="B181" s="2" t="s">
        <v>1254</v>
      </c>
      <c r="C181" s="2">
        <v>19202100306</v>
      </c>
      <c r="D181" s="2">
        <v>2.16</v>
      </c>
      <c r="E181" s="226" t="s">
        <v>420</v>
      </c>
    </row>
    <row r="182" spans="1:5" x14ac:dyDescent="0.25">
      <c r="A182" s="181" t="s">
        <v>1314</v>
      </c>
      <c r="B182" s="2" t="s">
        <v>1254</v>
      </c>
      <c r="C182" s="2">
        <v>19202100303</v>
      </c>
      <c r="D182" s="2">
        <v>2.0499999999999998</v>
      </c>
      <c r="E182" s="226" t="s">
        <v>420</v>
      </c>
    </row>
    <row r="183" spans="1:5" x14ac:dyDescent="0.25">
      <c r="A183" s="181" t="s">
        <v>1314</v>
      </c>
      <c r="B183" s="2" t="s">
        <v>1254</v>
      </c>
      <c r="C183" s="2">
        <v>19202100312</v>
      </c>
      <c r="D183" s="2">
        <v>2.02</v>
      </c>
      <c r="E183" s="226" t="s">
        <v>420</v>
      </c>
    </row>
    <row r="184" spans="1:5" x14ac:dyDescent="0.25">
      <c r="A184" s="181" t="s">
        <v>1314</v>
      </c>
      <c r="B184" s="2" t="s">
        <v>1254</v>
      </c>
      <c r="C184" s="2">
        <v>19202100310</v>
      </c>
      <c r="D184" s="2">
        <v>1.98</v>
      </c>
      <c r="E184" s="226" t="s">
        <v>420</v>
      </c>
    </row>
    <row r="185" spans="1:5" x14ac:dyDescent="0.25">
      <c r="A185" s="181" t="s">
        <v>1314</v>
      </c>
      <c r="B185" s="2" t="s">
        <v>1254</v>
      </c>
      <c r="C185" s="2">
        <v>19202100302</v>
      </c>
      <c r="D185" s="2">
        <v>1.94</v>
      </c>
      <c r="E185" s="226" t="s">
        <v>420</v>
      </c>
    </row>
    <row r="186" spans="1:5" x14ac:dyDescent="0.25">
      <c r="A186" s="181" t="s">
        <v>1314</v>
      </c>
      <c r="B186" s="2" t="s">
        <v>1254</v>
      </c>
      <c r="C186" s="2">
        <v>19202100314</v>
      </c>
      <c r="D186" s="2">
        <v>1.86</v>
      </c>
      <c r="E186" s="226" t="s">
        <v>420</v>
      </c>
    </row>
    <row r="187" spans="1:5" x14ac:dyDescent="0.25">
      <c r="A187" s="181" t="s">
        <v>1314</v>
      </c>
      <c r="B187" s="2" t="s">
        <v>1254</v>
      </c>
      <c r="C187" s="2">
        <v>19202100294</v>
      </c>
      <c r="D187" s="2">
        <v>1.84</v>
      </c>
      <c r="E187" s="226" t="s">
        <v>420</v>
      </c>
    </row>
    <row r="188" spans="1:5" x14ac:dyDescent="0.25">
      <c r="A188" s="181" t="s">
        <v>1314</v>
      </c>
      <c r="B188" s="2" t="s">
        <v>1254</v>
      </c>
      <c r="C188" s="2">
        <v>19202100309</v>
      </c>
      <c r="D188" s="2">
        <v>1.79</v>
      </c>
      <c r="E188" s="226" t="s">
        <v>420</v>
      </c>
    </row>
    <row r="189" spans="1:5" x14ac:dyDescent="0.25">
      <c r="A189" s="181" t="s">
        <v>1314</v>
      </c>
      <c r="B189" s="2" t="s">
        <v>1254</v>
      </c>
      <c r="C189" s="2">
        <v>19202100301</v>
      </c>
      <c r="D189" s="2">
        <v>1.7</v>
      </c>
      <c r="E189" s="226" t="s">
        <v>420</v>
      </c>
    </row>
    <row r="190" spans="1:5" x14ac:dyDescent="0.25">
      <c r="A190" s="181" t="s">
        <v>1314</v>
      </c>
      <c r="B190" s="2" t="s">
        <v>1254</v>
      </c>
      <c r="C190" s="2">
        <v>19202100315</v>
      </c>
      <c r="D190" s="2">
        <v>1.66</v>
      </c>
      <c r="E190" s="226" t="s">
        <v>420</v>
      </c>
    </row>
    <row r="191" spans="1:5" x14ac:dyDescent="0.25">
      <c r="A191" s="2" t="s">
        <v>1383</v>
      </c>
      <c r="B191" s="26" t="s">
        <v>1384</v>
      </c>
      <c r="C191" s="2">
        <v>19202101021</v>
      </c>
      <c r="D191" s="2">
        <v>2.87</v>
      </c>
      <c r="E191" s="225" t="s">
        <v>419</v>
      </c>
    </row>
    <row r="192" spans="1:5" x14ac:dyDescent="0.25">
      <c r="A192" s="2" t="s">
        <v>1383</v>
      </c>
      <c r="B192" s="26" t="s">
        <v>1384</v>
      </c>
      <c r="C192" s="2">
        <v>19202101027</v>
      </c>
      <c r="D192" s="2">
        <v>2.74</v>
      </c>
      <c r="E192" s="225" t="s">
        <v>419</v>
      </c>
    </row>
    <row r="193" spans="1:5" x14ac:dyDescent="0.25">
      <c r="A193" s="2" t="s">
        <v>1383</v>
      </c>
      <c r="B193" s="26" t="s">
        <v>1384</v>
      </c>
      <c r="C193" s="2">
        <v>19202101030</v>
      </c>
      <c r="D193" s="2">
        <v>2.4900000000000002</v>
      </c>
      <c r="E193" s="225" t="s">
        <v>419</v>
      </c>
    </row>
    <row r="194" spans="1:5" x14ac:dyDescent="0.25">
      <c r="A194" s="2" t="s">
        <v>1383</v>
      </c>
      <c r="B194" s="26" t="s">
        <v>1384</v>
      </c>
      <c r="C194" s="2">
        <v>19202101026</v>
      </c>
      <c r="D194" s="2">
        <v>2.46</v>
      </c>
      <c r="E194" s="225" t="s">
        <v>419</v>
      </c>
    </row>
    <row r="195" spans="1:5" x14ac:dyDescent="0.25">
      <c r="A195" s="2" t="s">
        <v>1383</v>
      </c>
      <c r="B195" s="26" t="s">
        <v>1384</v>
      </c>
      <c r="C195" s="2">
        <v>19202101022</v>
      </c>
      <c r="D195" s="2">
        <v>2.4500000000000002</v>
      </c>
      <c r="E195" s="225" t="s">
        <v>419</v>
      </c>
    </row>
    <row r="196" spans="1:5" x14ac:dyDescent="0.25">
      <c r="A196" s="2" t="s">
        <v>1383</v>
      </c>
      <c r="B196" s="26" t="s">
        <v>1384</v>
      </c>
      <c r="C196" s="2">
        <v>19202101029</v>
      </c>
      <c r="D196" s="2">
        <v>2.35</v>
      </c>
      <c r="E196" s="226" t="s">
        <v>420</v>
      </c>
    </row>
    <row r="197" spans="1:5" x14ac:dyDescent="0.25">
      <c r="A197" s="2" t="s">
        <v>1383</v>
      </c>
      <c r="B197" s="26" t="s">
        <v>1384</v>
      </c>
      <c r="C197" s="2">
        <v>19202101024</v>
      </c>
      <c r="D197" s="2">
        <v>2.34</v>
      </c>
      <c r="E197" s="226" t="s">
        <v>420</v>
      </c>
    </row>
    <row r="198" spans="1:5" x14ac:dyDescent="0.25">
      <c r="A198" s="2" t="s">
        <v>1383</v>
      </c>
      <c r="B198" s="26" t="s">
        <v>1384</v>
      </c>
      <c r="C198" s="2">
        <v>19202101028</v>
      </c>
      <c r="D198" s="2">
        <v>2.02</v>
      </c>
      <c r="E198" s="225" t="s">
        <v>419</v>
      </c>
    </row>
    <row r="199" spans="1:5" x14ac:dyDescent="0.25">
      <c r="A199" s="2" t="s">
        <v>1383</v>
      </c>
      <c r="B199" s="26" t="s">
        <v>1384</v>
      </c>
      <c r="C199" s="2">
        <v>19202101018</v>
      </c>
      <c r="D199" s="2">
        <v>1.94</v>
      </c>
      <c r="E199" s="226" t="s">
        <v>420</v>
      </c>
    </row>
    <row r="200" spans="1:5" x14ac:dyDescent="0.25">
      <c r="A200" s="2" t="s">
        <v>1452</v>
      </c>
      <c r="B200" s="2" t="s">
        <v>1453</v>
      </c>
      <c r="C200" s="2">
        <v>19202101567</v>
      </c>
      <c r="D200" s="2">
        <v>2.54</v>
      </c>
      <c r="E200" s="225" t="s">
        <v>419</v>
      </c>
    </row>
    <row r="201" spans="1:5" x14ac:dyDescent="0.25">
      <c r="A201" s="2" t="s">
        <v>1452</v>
      </c>
      <c r="B201" s="2" t="s">
        <v>1453</v>
      </c>
      <c r="C201" s="2">
        <v>19202101574</v>
      </c>
      <c r="D201" s="2">
        <v>2.27</v>
      </c>
      <c r="E201" s="225" t="s">
        <v>419</v>
      </c>
    </row>
    <row r="202" spans="1:5" x14ac:dyDescent="0.25">
      <c r="A202" s="2" t="s">
        <v>1452</v>
      </c>
      <c r="B202" s="2" t="s">
        <v>1453</v>
      </c>
      <c r="C202" s="2">
        <v>19202101566</v>
      </c>
      <c r="D202" s="2">
        <v>2.2599999999999998</v>
      </c>
      <c r="E202" s="225" t="s">
        <v>419</v>
      </c>
    </row>
    <row r="203" spans="1:5" x14ac:dyDescent="0.25">
      <c r="A203" s="2" t="s">
        <v>1452</v>
      </c>
      <c r="B203" s="2" t="s">
        <v>1453</v>
      </c>
      <c r="C203" s="2">
        <v>19202101573</v>
      </c>
      <c r="D203" s="2">
        <v>2.1800000000000002</v>
      </c>
      <c r="E203" s="225" t="s">
        <v>419</v>
      </c>
    </row>
    <row r="204" spans="1:5" x14ac:dyDescent="0.25">
      <c r="A204" s="2" t="s">
        <v>1452</v>
      </c>
      <c r="B204" s="2" t="s">
        <v>1453</v>
      </c>
      <c r="C204" s="2">
        <v>19202101568</v>
      </c>
      <c r="D204" s="2">
        <v>2.13</v>
      </c>
      <c r="E204" s="226" t="s">
        <v>420</v>
      </c>
    </row>
    <row r="205" spans="1:5" x14ac:dyDescent="0.25">
      <c r="A205" s="2" t="s">
        <v>1452</v>
      </c>
      <c r="B205" s="2" t="s">
        <v>1453</v>
      </c>
      <c r="C205" s="2">
        <v>19202101576</v>
      </c>
      <c r="D205" s="2">
        <v>1.95</v>
      </c>
      <c r="E205" s="226" t="s">
        <v>420</v>
      </c>
    </row>
    <row r="206" spans="1:5" x14ac:dyDescent="0.25">
      <c r="A206" s="2" t="s">
        <v>1452</v>
      </c>
      <c r="B206" s="2" t="s">
        <v>1454</v>
      </c>
      <c r="C206" s="2">
        <v>19202101569</v>
      </c>
      <c r="D206" s="2">
        <v>2.36</v>
      </c>
      <c r="E206" s="225" t="s">
        <v>419</v>
      </c>
    </row>
    <row r="207" spans="1:5" x14ac:dyDescent="0.25">
      <c r="A207" s="2" t="s">
        <v>1452</v>
      </c>
      <c r="B207" s="2" t="s">
        <v>1454</v>
      </c>
      <c r="C207" s="2">
        <v>19202101575</v>
      </c>
      <c r="D207" s="2">
        <v>2.02</v>
      </c>
      <c r="E207" s="225" t="s">
        <v>419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workbookViewId="0">
      <pane ySplit="2" topLeftCell="A168" activePane="bottomLeft" state="frozen"/>
      <selection pane="bottomLeft" activeCell="E189" sqref="E189"/>
    </sheetView>
  </sheetViews>
  <sheetFormatPr defaultRowHeight="15" x14ac:dyDescent="0.25"/>
  <cols>
    <col min="1" max="1" width="21.85546875" customWidth="1"/>
    <col min="2" max="2" width="34.85546875" customWidth="1"/>
    <col min="3" max="3" width="20.42578125" customWidth="1"/>
    <col min="4" max="4" width="14.85546875" customWidth="1"/>
    <col min="5" max="5" width="17.85546875" customWidth="1"/>
  </cols>
  <sheetData>
    <row r="1" spans="1:5" ht="15.75" x14ac:dyDescent="0.25">
      <c r="A1" s="847" t="s">
        <v>13</v>
      </c>
      <c r="B1" s="848"/>
      <c r="C1" s="848"/>
      <c r="D1" s="848"/>
      <c r="E1" s="849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ht="15.75" thickBot="1" x14ac:dyDescent="0.3">
      <c r="A3" s="171" t="s">
        <v>481</v>
      </c>
      <c r="B3" s="172" t="s">
        <v>482</v>
      </c>
      <c r="C3" s="173" t="str">
        <f>"619216371303"</f>
        <v>619216371303</v>
      </c>
      <c r="D3" s="174">
        <v>4.0010000000000003</v>
      </c>
      <c r="E3" s="175" t="s">
        <v>419</v>
      </c>
    </row>
    <row r="4" spans="1:5" x14ac:dyDescent="0.25">
      <c r="A4" s="58" t="s">
        <v>481</v>
      </c>
      <c r="B4" s="91" t="s">
        <v>483</v>
      </c>
      <c r="C4" s="176" t="str">
        <f>"619216371310"</f>
        <v>619216371310</v>
      </c>
      <c r="D4" s="89">
        <v>4.9000000000000004</v>
      </c>
      <c r="E4" s="39" t="s">
        <v>419</v>
      </c>
    </row>
    <row r="5" spans="1:5" x14ac:dyDescent="0.25">
      <c r="A5" s="60" t="s">
        <v>481</v>
      </c>
      <c r="B5" s="1" t="s">
        <v>483</v>
      </c>
      <c r="C5" s="5" t="str">
        <f>"619216371304"</f>
        <v>619216371304</v>
      </c>
      <c r="D5" s="8">
        <v>3.5</v>
      </c>
      <c r="E5" s="41" t="s">
        <v>419</v>
      </c>
    </row>
    <row r="6" spans="1:5" ht="15.75" thickBot="1" x14ac:dyDescent="0.3">
      <c r="A6" s="61" t="s">
        <v>481</v>
      </c>
      <c r="B6" s="62" t="s">
        <v>483</v>
      </c>
      <c r="C6" s="44" t="str">
        <f>"619216371305"</f>
        <v>619216371305</v>
      </c>
      <c r="D6" s="90">
        <v>2.2669999999999999</v>
      </c>
      <c r="E6" s="46" t="s">
        <v>420</v>
      </c>
    </row>
    <row r="7" spans="1:5" x14ac:dyDescent="0.25">
      <c r="A7" s="58" t="s">
        <v>481</v>
      </c>
      <c r="B7" s="91" t="s">
        <v>484</v>
      </c>
      <c r="C7" s="176" t="str">
        <f>"619216371309"</f>
        <v>619216371309</v>
      </c>
      <c r="D7" s="89">
        <v>4.9329999999999998</v>
      </c>
      <c r="E7" s="39" t="s">
        <v>419</v>
      </c>
    </row>
    <row r="8" spans="1:5" x14ac:dyDescent="0.25">
      <c r="A8" s="60" t="s">
        <v>481</v>
      </c>
      <c r="B8" s="1" t="s">
        <v>484</v>
      </c>
      <c r="C8" s="5" t="str">
        <f>"619216371306"</f>
        <v>619216371306</v>
      </c>
      <c r="D8" s="8">
        <v>4.7329999999999997</v>
      </c>
      <c r="E8" s="41" t="s">
        <v>419</v>
      </c>
    </row>
    <row r="9" spans="1:5" x14ac:dyDescent="0.25">
      <c r="A9" s="60" t="s">
        <v>481</v>
      </c>
      <c r="B9" s="1" t="s">
        <v>484</v>
      </c>
      <c r="C9" s="170" t="str">
        <f>"619216371311"</f>
        <v>619216371311</v>
      </c>
      <c r="D9" s="8">
        <v>4.5999999999999996</v>
      </c>
      <c r="E9" s="41" t="s">
        <v>419</v>
      </c>
    </row>
    <row r="10" spans="1:5" ht="15.75" thickBot="1" x14ac:dyDescent="0.3">
      <c r="A10" s="164" t="s">
        <v>481</v>
      </c>
      <c r="B10" s="161" t="s">
        <v>484</v>
      </c>
      <c r="C10" s="322" t="str">
        <f>"619216371307"</f>
        <v>619216371307</v>
      </c>
      <c r="D10" s="118">
        <v>4.0670000000000002</v>
      </c>
      <c r="E10" s="119" t="s">
        <v>420</v>
      </c>
    </row>
    <row r="11" spans="1:5" x14ac:dyDescent="0.25">
      <c r="A11" s="316" t="s">
        <v>644</v>
      </c>
      <c r="B11" s="317" t="s">
        <v>645</v>
      </c>
      <c r="C11" s="318" t="str">
        <f>"619216371673"</f>
        <v>619216371673</v>
      </c>
      <c r="D11" s="89">
        <v>4.633</v>
      </c>
      <c r="E11" s="39" t="s">
        <v>419</v>
      </c>
    </row>
    <row r="12" spans="1:5" x14ac:dyDescent="0.25">
      <c r="A12" s="319" t="s">
        <v>644</v>
      </c>
      <c r="B12" s="315" t="s">
        <v>645</v>
      </c>
      <c r="C12" s="313" t="str">
        <f>"619216371674"</f>
        <v>619216371674</v>
      </c>
      <c r="D12" s="8">
        <v>4.55</v>
      </c>
      <c r="E12" s="41" t="s">
        <v>419</v>
      </c>
    </row>
    <row r="13" spans="1:5" x14ac:dyDescent="0.25">
      <c r="A13" s="319" t="s">
        <v>644</v>
      </c>
      <c r="B13" s="315" t="s">
        <v>645</v>
      </c>
      <c r="C13" s="313" t="str">
        <f>"619216371676"</f>
        <v>619216371676</v>
      </c>
      <c r="D13" s="8">
        <v>4.5330000000000004</v>
      </c>
      <c r="E13" s="41" t="s">
        <v>419</v>
      </c>
    </row>
    <row r="14" spans="1:5" x14ac:dyDescent="0.25">
      <c r="A14" s="319" t="s">
        <v>644</v>
      </c>
      <c r="B14" s="315" t="s">
        <v>645</v>
      </c>
      <c r="C14" s="313" t="str">
        <f>"619216371677"</f>
        <v>619216371677</v>
      </c>
      <c r="D14" s="8">
        <v>4.25</v>
      </c>
      <c r="E14" s="41" t="s">
        <v>419</v>
      </c>
    </row>
    <row r="15" spans="1:5" x14ac:dyDescent="0.25">
      <c r="A15" s="319" t="s">
        <v>644</v>
      </c>
      <c r="B15" s="315" t="s">
        <v>645</v>
      </c>
      <c r="C15" s="313" t="str">
        <f>"619216371671"</f>
        <v>619216371671</v>
      </c>
      <c r="D15" s="8">
        <v>3.7</v>
      </c>
      <c r="E15" s="41" t="s">
        <v>419</v>
      </c>
    </row>
    <row r="16" spans="1:5" x14ac:dyDescent="0.25">
      <c r="A16" s="319" t="s">
        <v>644</v>
      </c>
      <c r="B16" s="315" t="s">
        <v>645</v>
      </c>
      <c r="C16" s="313" t="str">
        <f>"619216371670"</f>
        <v>619216371670</v>
      </c>
      <c r="D16" s="8">
        <v>3.2829999999999999</v>
      </c>
      <c r="E16" s="41" t="s">
        <v>419</v>
      </c>
    </row>
    <row r="17" spans="1:7" x14ac:dyDescent="0.25">
      <c r="A17" s="323" t="s">
        <v>644</v>
      </c>
      <c r="B17" s="321" t="s">
        <v>645</v>
      </c>
      <c r="C17" s="320" t="str">
        <f>"619216371682"</f>
        <v>619216371682</v>
      </c>
      <c r="D17" s="8">
        <v>2.3330000000000002</v>
      </c>
      <c r="E17" s="66" t="s">
        <v>420</v>
      </c>
    </row>
    <row r="18" spans="1:7" ht="15.75" thickBot="1" x14ac:dyDescent="0.3">
      <c r="A18" s="324" t="s">
        <v>644</v>
      </c>
      <c r="B18" s="325" t="s">
        <v>645</v>
      </c>
      <c r="C18" s="326" t="str">
        <f>"619216371681"</f>
        <v>619216371681</v>
      </c>
      <c r="D18" s="90">
        <v>2.2000000000000002</v>
      </c>
      <c r="E18" s="46" t="s">
        <v>420</v>
      </c>
    </row>
    <row r="19" spans="1:7" ht="15.75" thickBot="1" x14ac:dyDescent="0.3">
      <c r="A19" s="329" t="s">
        <v>644</v>
      </c>
      <c r="B19" s="330" t="s">
        <v>646</v>
      </c>
      <c r="C19" s="331" t="str">
        <f>"619216371672"</f>
        <v>619216371672</v>
      </c>
      <c r="D19" s="332">
        <v>3.5329999999999999</v>
      </c>
      <c r="E19" s="333" t="s">
        <v>419</v>
      </c>
    </row>
    <row r="20" spans="1:7" x14ac:dyDescent="0.25">
      <c r="A20" s="316" t="s">
        <v>644</v>
      </c>
      <c r="B20" s="327" t="s">
        <v>647</v>
      </c>
      <c r="C20" s="318" t="str">
        <f>"619216371678"</f>
        <v>619216371678</v>
      </c>
      <c r="D20" s="89">
        <v>4.7</v>
      </c>
      <c r="E20" s="39" t="s">
        <v>419</v>
      </c>
    </row>
    <row r="21" spans="1:7" x14ac:dyDescent="0.25">
      <c r="A21" s="319" t="s">
        <v>644</v>
      </c>
      <c r="B21" s="314" t="s">
        <v>647</v>
      </c>
      <c r="C21" s="313" t="str">
        <f>"619216371675"</f>
        <v>619216371675</v>
      </c>
      <c r="D21" s="8">
        <v>4.4329999999999998</v>
      </c>
      <c r="E21" s="41" t="s">
        <v>419</v>
      </c>
    </row>
    <row r="22" spans="1:7" x14ac:dyDescent="0.25">
      <c r="A22" s="323" t="s">
        <v>644</v>
      </c>
      <c r="B22" s="321" t="s">
        <v>647</v>
      </c>
      <c r="C22" s="320" t="str">
        <f>"619216371679"</f>
        <v>619216371679</v>
      </c>
      <c r="D22" s="8">
        <v>3.8</v>
      </c>
      <c r="E22" s="66" t="s">
        <v>420</v>
      </c>
    </row>
    <row r="23" spans="1:7" ht="15.75" thickBot="1" x14ac:dyDescent="0.3">
      <c r="A23" s="324" t="s">
        <v>644</v>
      </c>
      <c r="B23" s="325" t="s">
        <v>647</v>
      </c>
      <c r="C23" s="326" t="str">
        <f>"619216371680"</f>
        <v>619216371680</v>
      </c>
      <c r="D23" s="90">
        <v>3.5670000000000002</v>
      </c>
      <c r="E23" s="46" t="s">
        <v>420</v>
      </c>
    </row>
    <row r="24" spans="1:7" ht="15.75" thickBot="1" x14ac:dyDescent="0.3">
      <c r="A24" s="195" t="s">
        <v>906</v>
      </c>
      <c r="B24" s="510" t="s">
        <v>646</v>
      </c>
      <c r="C24" s="173" t="str">
        <f>"619217372656"</f>
        <v>619217372656</v>
      </c>
      <c r="D24" s="191">
        <v>4.383</v>
      </c>
      <c r="E24" s="175" t="s">
        <v>419</v>
      </c>
      <c r="F24" s="6"/>
      <c r="G24" s="6"/>
    </row>
    <row r="25" spans="1:7" x14ac:dyDescent="0.25">
      <c r="A25" s="47" t="s">
        <v>906</v>
      </c>
      <c r="B25" s="327" t="s">
        <v>647</v>
      </c>
      <c r="C25" s="48" t="str">
        <f>"619217372659"</f>
        <v>619217372659</v>
      </c>
      <c r="D25" s="49">
        <v>4.2329999999999997</v>
      </c>
      <c r="E25" s="39" t="s">
        <v>419</v>
      </c>
      <c r="F25" s="6"/>
      <c r="G25" s="6"/>
    </row>
    <row r="26" spans="1:7" x14ac:dyDescent="0.25">
      <c r="A26" s="50" t="s">
        <v>906</v>
      </c>
      <c r="B26" s="314" t="s">
        <v>647</v>
      </c>
      <c r="C26" s="5" t="str">
        <f>"619217372658"</f>
        <v>619217372658</v>
      </c>
      <c r="D26" s="2">
        <v>4.3</v>
      </c>
      <c r="E26" s="41" t="s">
        <v>419</v>
      </c>
      <c r="F26" s="6"/>
      <c r="G26" s="6"/>
    </row>
    <row r="27" spans="1:7" x14ac:dyDescent="0.25">
      <c r="A27" s="50" t="s">
        <v>906</v>
      </c>
      <c r="B27" s="314" t="s">
        <v>647</v>
      </c>
      <c r="C27" s="5" t="str">
        <f>"619217372657"</f>
        <v>619217372657</v>
      </c>
      <c r="D27" s="2">
        <v>4.3330000000000002</v>
      </c>
      <c r="E27" s="41" t="s">
        <v>419</v>
      </c>
      <c r="F27" s="6"/>
      <c r="G27" s="6"/>
    </row>
    <row r="28" spans="1:7" x14ac:dyDescent="0.25">
      <c r="A28" s="50" t="s">
        <v>906</v>
      </c>
      <c r="B28" s="314" t="s">
        <v>647</v>
      </c>
      <c r="C28" s="5" t="str">
        <f>"619217372655"</f>
        <v>619217372655</v>
      </c>
      <c r="D28" s="2">
        <v>4.7</v>
      </c>
      <c r="E28" s="41" t="s">
        <v>419</v>
      </c>
      <c r="F28" s="6"/>
      <c r="G28" s="6"/>
    </row>
    <row r="29" spans="1:7" x14ac:dyDescent="0.25">
      <c r="A29" s="117" t="s">
        <v>906</v>
      </c>
      <c r="B29" s="573" t="s">
        <v>647</v>
      </c>
      <c r="C29" s="106" t="str">
        <f>"619217372663"</f>
        <v>619217372663</v>
      </c>
      <c r="D29" s="375">
        <v>2.9329999999999998</v>
      </c>
      <c r="E29" s="119" t="s">
        <v>420</v>
      </c>
      <c r="G29" s="328"/>
    </row>
    <row r="30" spans="1:7" x14ac:dyDescent="0.25">
      <c r="A30" s="5" t="s">
        <v>1072</v>
      </c>
      <c r="B30" s="2" t="s">
        <v>645</v>
      </c>
      <c r="C30" s="2" t="str">
        <f>"619217373217"</f>
        <v>619217373217</v>
      </c>
      <c r="D30" s="2">
        <v>4.3170000000000002</v>
      </c>
      <c r="E30" s="225" t="s">
        <v>419</v>
      </c>
    </row>
    <row r="31" spans="1:7" x14ac:dyDescent="0.25">
      <c r="A31" s="5" t="s">
        <v>1072</v>
      </c>
      <c r="B31" s="2" t="s">
        <v>645</v>
      </c>
      <c r="C31" s="2" t="str">
        <f>"619217373218"</f>
        <v>619217373218</v>
      </c>
      <c r="D31" s="2">
        <v>4.1829999999999998</v>
      </c>
      <c r="E31" s="225" t="s">
        <v>419</v>
      </c>
    </row>
    <row r="32" spans="1:7" x14ac:dyDescent="0.25">
      <c r="A32" s="5" t="s">
        <v>1072</v>
      </c>
      <c r="B32" s="2" t="s">
        <v>645</v>
      </c>
      <c r="C32" s="2" t="str">
        <f>"619217373219"</f>
        <v>619217373219</v>
      </c>
      <c r="D32" s="2">
        <v>4.05</v>
      </c>
      <c r="E32" s="225" t="s">
        <v>419</v>
      </c>
    </row>
    <row r="33" spans="1:5" x14ac:dyDescent="0.25">
      <c r="A33" s="5" t="s">
        <v>1072</v>
      </c>
      <c r="B33" s="2" t="s">
        <v>645</v>
      </c>
      <c r="C33" s="2" t="str">
        <f>"619217373220"</f>
        <v>619217373220</v>
      </c>
      <c r="D33" s="2">
        <v>4.0170000000000003</v>
      </c>
      <c r="E33" s="225" t="s">
        <v>419</v>
      </c>
    </row>
    <row r="34" spans="1:5" x14ac:dyDescent="0.25">
      <c r="A34" s="5" t="s">
        <v>1072</v>
      </c>
      <c r="B34" s="2" t="s">
        <v>645</v>
      </c>
      <c r="C34" s="2" t="str">
        <f>"619217373221"</f>
        <v>619217373221</v>
      </c>
      <c r="D34" s="2">
        <v>3.8170000000000002</v>
      </c>
      <c r="E34" s="225" t="s">
        <v>419</v>
      </c>
    </row>
    <row r="35" spans="1:5" x14ac:dyDescent="0.25">
      <c r="A35" s="5" t="s">
        <v>1072</v>
      </c>
      <c r="B35" s="2" t="s">
        <v>645</v>
      </c>
      <c r="C35" s="2" t="str">
        <f>"619217373222"</f>
        <v>619217373222</v>
      </c>
      <c r="D35" s="2">
        <v>3.6669999999999998</v>
      </c>
      <c r="E35" s="225" t="s">
        <v>419</v>
      </c>
    </row>
    <row r="36" spans="1:5" x14ac:dyDescent="0.25">
      <c r="A36" s="5" t="s">
        <v>1072</v>
      </c>
      <c r="B36" s="2" t="s">
        <v>645</v>
      </c>
      <c r="C36" s="2" t="str">
        <f>"619217373223"</f>
        <v>619217373223</v>
      </c>
      <c r="D36" s="2">
        <v>3</v>
      </c>
      <c r="E36" s="225" t="s">
        <v>419</v>
      </c>
    </row>
    <row r="37" spans="1:5" x14ac:dyDescent="0.25">
      <c r="A37" s="2" t="s">
        <v>1072</v>
      </c>
      <c r="B37" s="2" t="s">
        <v>645</v>
      </c>
      <c r="C37" s="2" t="str">
        <f>"619217373228"</f>
        <v>619217373228</v>
      </c>
      <c r="D37" s="26">
        <v>2.6829999999999998</v>
      </c>
      <c r="E37" s="226" t="s">
        <v>420</v>
      </c>
    </row>
    <row r="38" spans="1:5" x14ac:dyDescent="0.25">
      <c r="A38" s="2" t="s">
        <v>1072</v>
      </c>
      <c r="B38" s="2" t="s">
        <v>645</v>
      </c>
      <c r="C38" s="2" t="str">
        <f>"619217373229"</f>
        <v>619217373229</v>
      </c>
      <c r="D38" s="26">
        <v>1.85</v>
      </c>
      <c r="E38" s="226" t="s">
        <v>420</v>
      </c>
    </row>
    <row r="39" spans="1:5" x14ac:dyDescent="0.25">
      <c r="A39" s="5" t="s">
        <v>1072</v>
      </c>
      <c r="B39" s="2" t="s">
        <v>646</v>
      </c>
      <c r="C39" s="2" t="str">
        <f>"619217373225"</f>
        <v>619217373225</v>
      </c>
      <c r="D39" s="26">
        <v>3.8330000000000002</v>
      </c>
      <c r="E39" s="225" t="s">
        <v>419</v>
      </c>
    </row>
    <row r="40" spans="1:5" x14ac:dyDescent="0.25">
      <c r="A40" s="5" t="s">
        <v>1072</v>
      </c>
      <c r="B40" s="2" t="s">
        <v>646</v>
      </c>
      <c r="C40" s="2" t="str">
        <f>"619217373224"</f>
        <v>619217373224</v>
      </c>
      <c r="D40" s="26">
        <v>4.0330000000000004</v>
      </c>
      <c r="E40" s="225" t="s">
        <v>419</v>
      </c>
    </row>
    <row r="41" spans="1:5" x14ac:dyDescent="0.25">
      <c r="A41" s="23" t="s">
        <v>1072</v>
      </c>
      <c r="B41" s="29" t="s">
        <v>483</v>
      </c>
      <c r="C41" s="2" t="str">
        <f>"619217373227"</f>
        <v>619217373227</v>
      </c>
      <c r="D41" s="26">
        <v>3.0169999999999999</v>
      </c>
      <c r="E41" s="226" t="s">
        <v>420</v>
      </c>
    </row>
    <row r="42" spans="1:5" x14ac:dyDescent="0.25">
      <c r="A42" s="2" t="s">
        <v>1119</v>
      </c>
      <c r="B42" s="26" t="s">
        <v>647</v>
      </c>
      <c r="C42" s="2">
        <v>19201800569</v>
      </c>
      <c r="D42" s="2">
        <v>4.32</v>
      </c>
      <c r="E42" s="225" t="s">
        <v>419</v>
      </c>
    </row>
    <row r="43" spans="1:5" x14ac:dyDescent="0.25">
      <c r="A43" s="2" t="s">
        <v>1119</v>
      </c>
      <c r="B43" s="26" t="s">
        <v>647</v>
      </c>
      <c r="C43" s="2">
        <v>19201800537</v>
      </c>
      <c r="D43" s="2">
        <v>4.22</v>
      </c>
      <c r="E43" s="225" t="s">
        <v>419</v>
      </c>
    </row>
    <row r="44" spans="1:5" x14ac:dyDescent="0.25">
      <c r="A44" s="2" t="s">
        <v>1119</v>
      </c>
      <c r="B44" s="26" t="s">
        <v>647</v>
      </c>
      <c r="C44" s="2">
        <v>19201800543</v>
      </c>
      <c r="D44" s="2">
        <v>3.92</v>
      </c>
      <c r="E44" s="225" t="s">
        <v>419</v>
      </c>
    </row>
    <row r="45" spans="1:5" x14ac:dyDescent="0.25">
      <c r="A45" s="2" t="s">
        <v>1119</v>
      </c>
      <c r="B45" s="26" t="s">
        <v>647</v>
      </c>
      <c r="C45" s="2">
        <v>19201800573</v>
      </c>
      <c r="D45" s="2">
        <v>3.8</v>
      </c>
      <c r="E45" s="225" t="s">
        <v>419</v>
      </c>
    </row>
    <row r="46" spans="1:5" x14ac:dyDescent="0.25">
      <c r="A46" s="2" t="s">
        <v>1119</v>
      </c>
      <c r="B46" s="26" t="s">
        <v>647</v>
      </c>
      <c r="C46" s="2">
        <v>19201800577</v>
      </c>
      <c r="D46" s="2">
        <v>3.78</v>
      </c>
      <c r="E46" s="225" t="s">
        <v>419</v>
      </c>
    </row>
    <row r="47" spans="1:5" x14ac:dyDescent="0.25">
      <c r="A47" s="2" t="s">
        <v>1119</v>
      </c>
      <c r="B47" s="26" t="s">
        <v>647</v>
      </c>
      <c r="C47" s="2">
        <v>19201800565</v>
      </c>
      <c r="D47" s="2">
        <v>3.72</v>
      </c>
      <c r="E47" s="225" t="s">
        <v>419</v>
      </c>
    </row>
    <row r="48" spans="1:5" x14ac:dyDescent="0.25">
      <c r="A48" s="2" t="s">
        <v>1119</v>
      </c>
      <c r="B48" s="26" t="s">
        <v>647</v>
      </c>
      <c r="C48" s="2">
        <v>19201800558</v>
      </c>
      <c r="D48" s="2">
        <v>3.68</v>
      </c>
      <c r="E48" s="225" t="s">
        <v>419</v>
      </c>
    </row>
    <row r="49" spans="1:5" x14ac:dyDescent="0.25">
      <c r="A49" s="2" t="s">
        <v>1119</v>
      </c>
      <c r="B49" s="26" t="s">
        <v>647</v>
      </c>
      <c r="C49" s="2">
        <v>19201800568</v>
      </c>
      <c r="D49" s="2">
        <v>3.48</v>
      </c>
      <c r="E49" s="226" t="s">
        <v>420</v>
      </c>
    </row>
    <row r="50" spans="1:5" x14ac:dyDescent="0.25">
      <c r="A50" s="2" t="s">
        <v>1119</v>
      </c>
      <c r="B50" s="26" t="s">
        <v>647</v>
      </c>
      <c r="C50" s="2">
        <v>19201800562</v>
      </c>
      <c r="D50" s="2">
        <v>3.26</v>
      </c>
      <c r="E50" s="226" t="s">
        <v>420</v>
      </c>
    </row>
    <row r="51" spans="1:5" x14ac:dyDescent="0.25">
      <c r="A51" s="2" t="s">
        <v>1119</v>
      </c>
      <c r="B51" s="26" t="s">
        <v>647</v>
      </c>
      <c r="C51" s="2">
        <v>19201800575</v>
      </c>
      <c r="D51" s="2">
        <v>3.2</v>
      </c>
      <c r="E51" s="225" t="s">
        <v>419</v>
      </c>
    </row>
    <row r="52" spans="1:5" x14ac:dyDescent="0.25">
      <c r="A52" s="2" t="s">
        <v>1119</v>
      </c>
      <c r="B52" s="26" t="s">
        <v>647</v>
      </c>
      <c r="C52" s="2">
        <v>19201800557</v>
      </c>
      <c r="D52" s="2">
        <v>2.96</v>
      </c>
      <c r="E52" s="226" t="s">
        <v>420</v>
      </c>
    </row>
    <row r="53" spans="1:5" x14ac:dyDescent="0.25">
      <c r="A53" s="2" t="s">
        <v>1119</v>
      </c>
      <c r="B53" s="26" t="s">
        <v>647</v>
      </c>
      <c r="C53" s="2">
        <v>19201800551</v>
      </c>
      <c r="D53" s="2">
        <v>2.2799999999999998</v>
      </c>
      <c r="E53" s="226" t="s">
        <v>420</v>
      </c>
    </row>
    <row r="54" spans="1:5" x14ac:dyDescent="0.25">
      <c r="A54" s="2" t="s">
        <v>1119</v>
      </c>
      <c r="B54" s="26" t="s">
        <v>647</v>
      </c>
      <c r="C54" s="2">
        <v>19201800550</v>
      </c>
      <c r="D54" s="2">
        <v>2.2200000000000002</v>
      </c>
      <c r="E54" s="226" t="s">
        <v>420</v>
      </c>
    </row>
    <row r="55" spans="1:5" x14ac:dyDescent="0.25">
      <c r="A55" s="2" t="s">
        <v>1119</v>
      </c>
      <c r="B55" s="26" t="s">
        <v>646</v>
      </c>
      <c r="C55" s="2">
        <v>19201800571</v>
      </c>
      <c r="D55" s="2">
        <v>4.03</v>
      </c>
      <c r="E55" s="225" t="s">
        <v>419</v>
      </c>
    </row>
    <row r="56" spans="1:5" x14ac:dyDescent="0.25">
      <c r="A56" s="2" t="s">
        <v>1119</v>
      </c>
      <c r="B56" s="26" t="s">
        <v>646</v>
      </c>
      <c r="C56" s="2">
        <v>19201800554</v>
      </c>
      <c r="D56" s="2">
        <v>3.76</v>
      </c>
      <c r="E56" s="225" t="s">
        <v>419</v>
      </c>
    </row>
    <row r="57" spans="1:5" x14ac:dyDescent="0.25">
      <c r="A57" s="2" t="s">
        <v>1119</v>
      </c>
      <c r="B57" s="26" t="s">
        <v>646</v>
      </c>
      <c r="C57" s="2">
        <v>19201800576</v>
      </c>
      <c r="D57" s="2">
        <v>3.06</v>
      </c>
      <c r="E57" s="225" t="s">
        <v>419</v>
      </c>
    </row>
    <row r="58" spans="1:5" x14ac:dyDescent="0.25">
      <c r="A58" s="26" t="s">
        <v>1161</v>
      </c>
      <c r="B58" s="26" t="s">
        <v>645</v>
      </c>
      <c r="C58" s="2">
        <v>19201801067</v>
      </c>
      <c r="D58" s="2">
        <v>3.81</v>
      </c>
      <c r="E58" s="225" t="s">
        <v>419</v>
      </c>
    </row>
    <row r="59" spans="1:5" x14ac:dyDescent="0.25">
      <c r="A59" s="26" t="s">
        <v>1161</v>
      </c>
      <c r="B59" s="26" t="s">
        <v>645</v>
      </c>
      <c r="C59" s="2">
        <v>19201801083</v>
      </c>
      <c r="D59" s="2">
        <v>3.81</v>
      </c>
      <c r="E59" s="225" t="s">
        <v>419</v>
      </c>
    </row>
    <row r="60" spans="1:5" x14ac:dyDescent="0.25">
      <c r="A60" s="26" t="s">
        <v>1161</v>
      </c>
      <c r="B60" s="26" t="s">
        <v>645</v>
      </c>
      <c r="C60" s="2">
        <v>19201801079</v>
      </c>
      <c r="D60" s="2">
        <v>3.67</v>
      </c>
      <c r="E60" s="225" t="s">
        <v>419</v>
      </c>
    </row>
    <row r="61" spans="1:5" x14ac:dyDescent="0.25">
      <c r="A61" s="26" t="s">
        <v>1161</v>
      </c>
      <c r="B61" s="26" t="s">
        <v>645</v>
      </c>
      <c r="C61" s="2">
        <v>19201801074</v>
      </c>
      <c r="D61" s="2">
        <v>3.52</v>
      </c>
      <c r="E61" s="225" t="s">
        <v>419</v>
      </c>
    </row>
    <row r="62" spans="1:5" x14ac:dyDescent="0.25">
      <c r="A62" s="26" t="s">
        <v>1161</v>
      </c>
      <c r="B62" s="26" t="s">
        <v>645</v>
      </c>
      <c r="C62" s="2">
        <v>19201801080</v>
      </c>
      <c r="D62" s="2">
        <v>3.32</v>
      </c>
      <c r="E62" s="225" t="s">
        <v>419</v>
      </c>
    </row>
    <row r="63" spans="1:5" x14ac:dyDescent="0.25">
      <c r="A63" s="26" t="s">
        <v>1161</v>
      </c>
      <c r="B63" s="26" t="s">
        <v>645</v>
      </c>
      <c r="C63" s="2">
        <v>19201801065</v>
      </c>
      <c r="D63" s="2">
        <v>3.16</v>
      </c>
      <c r="E63" s="225" t="s">
        <v>419</v>
      </c>
    </row>
    <row r="64" spans="1:5" x14ac:dyDescent="0.25">
      <c r="A64" s="26" t="s">
        <v>1161</v>
      </c>
      <c r="B64" s="26" t="s">
        <v>645</v>
      </c>
      <c r="C64" s="2">
        <v>19201801082</v>
      </c>
      <c r="D64" s="2">
        <v>3.13</v>
      </c>
      <c r="E64" s="225" t="s">
        <v>419</v>
      </c>
    </row>
    <row r="65" spans="1:5" x14ac:dyDescent="0.25">
      <c r="A65" s="26" t="s">
        <v>1161</v>
      </c>
      <c r="B65" s="26" t="s">
        <v>645</v>
      </c>
      <c r="C65" s="2">
        <v>19201801069</v>
      </c>
      <c r="D65" s="2">
        <v>3.12</v>
      </c>
      <c r="E65" s="225" t="s">
        <v>419</v>
      </c>
    </row>
    <row r="66" spans="1:5" x14ac:dyDescent="0.25">
      <c r="A66" s="26" t="s">
        <v>1161</v>
      </c>
      <c r="B66" s="26" t="s">
        <v>645</v>
      </c>
      <c r="C66" s="2">
        <v>19201801081</v>
      </c>
      <c r="D66" s="2">
        <v>2.93</v>
      </c>
      <c r="E66" s="226" t="s">
        <v>420</v>
      </c>
    </row>
    <row r="67" spans="1:5" x14ac:dyDescent="0.25">
      <c r="A67" s="26" t="s">
        <v>1161</v>
      </c>
      <c r="B67" s="26" t="s">
        <v>645</v>
      </c>
      <c r="C67" s="2">
        <v>19201801077</v>
      </c>
      <c r="D67" s="2">
        <v>2.57</v>
      </c>
      <c r="E67" s="226" t="s">
        <v>420</v>
      </c>
    </row>
    <row r="68" spans="1:5" x14ac:dyDescent="0.25">
      <c r="A68" s="26" t="s">
        <v>1161</v>
      </c>
      <c r="B68" s="26" t="s">
        <v>645</v>
      </c>
      <c r="C68" s="2">
        <v>19201801070</v>
      </c>
      <c r="D68" s="2">
        <v>3.31</v>
      </c>
      <c r="E68" s="226" t="s">
        <v>420</v>
      </c>
    </row>
    <row r="69" spans="1:5" x14ac:dyDescent="0.25">
      <c r="A69" s="26" t="s">
        <v>1161</v>
      </c>
      <c r="B69" s="26" t="s">
        <v>646</v>
      </c>
      <c r="C69" s="2">
        <v>19201801068</v>
      </c>
      <c r="D69" s="2">
        <v>3.74</v>
      </c>
      <c r="E69" s="301" t="s">
        <v>419</v>
      </c>
    </row>
    <row r="70" spans="1:5" x14ac:dyDescent="0.25">
      <c r="A70" s="26" t="s">
        <v>1161</v>
      </c>
      <c r="B70" s="26" t="s">
        <v>1162</v>
      </c>
      <c r="C70" s="2">
        <v>19201801076</v>
      </c>
      <c r="D70" s="2">
        <v>3.76</v>
      </c>
      <c r="E70" s="301" t="s">
        <v>419</v>
      </c>
    </row>
    <row r="71" spans="1:5" x14ac:dyDescent="0.25">
      <c r="A71" s="523" t="s">
        <v>1189</v>
      </c>
      <c r="B71" s="26" t="s">
        <v>647</v>
      </c>
      <c r="C71" s="682">
        <v>19201900545</v>
      </c>
      <c r="D71" s="659">
        <v>4.04</v>
      </c>
      <c r="E71" s="301" t="s">
        <v>419</v>
      </c>
    </row>
    <row r="72" spans="1:5" x14ac:dyDescent="0.25">
      <c r="A72" s="523" t="s">
        <v>1189</v>
      </c>
      <c r="B72" s="26" t="s">
        <v>647</v>
      </c>
      <c r="C72" s="682">
        <v>19201900537</v>
      </c>
      <c r="D72" s="659">
        <v>3.94</v>
      </c>
      <c r="E72" s="301" t="s">
        <v>419</v>
      </c>
    </row>
    <row r="73" spans="1:5" x14ac:dyDescent="0.25">
      <c r="A73" s="523" t="s">
        <v>1189</v>
      </c>
      <c r="B73" s="26" t="s">
        <v>647</v>
      </c>
      <c r="C73" s="682">
        <v>19201900536</v>
      </c>
      <c r="D73" s="659">
        <v>3.88</v>
      </c>
      <c r="E73" s="301" t="s">
        <v>419</v>
      </c>
    </row>
    <row r="74" spans="1:5" x14ac:dyDescent="0.25">
      <c r="A74" s="523" t="s">
        <v>1189</v>
      </c>
      <c r="B74" s="26" t="s">
        <v>647</v>
      </c>
      <c r="C74" s="682">
        <v>19201900520</v>
      </c>
      <c r="D74" s="659">
        <v>3.58</v>
      </c>
      <c r="E74" s="301" t="s">
        <v>419</v>
      </c>
    </row>
    <row r="75" spans="1:5" x14ac:dyDescent="0.25">
      <c r="A75" s="523" t="s">
        <v>1189</v>
      </c>
      <c r="B75" s="26" t="s">
        <v>647</v>
      </c>
      <c r="C75" s="682">
        <v>19201900548</v>
      </c>
      <c r="D75" s="659">
        <v>3.58</v>
      </c>
      <c r="E75" s="301" t="s">
        <v>419</v>
      </c>
    </row>
    <row r="76" spans="1:5" x14ac:dyDescent="0.25">
      <c r="A76" s="523" t="s">
        <v>1189</v>
      </c>
      <c r="B76" s="26" t="s">
        <v>647</v>
      </c>
      <c r="C76" s="682">
        <v>19201900540</v>
      </c>
      <c r="D76" s="659">
        <v>3.56</v>
      </c>
      <c r="E76" s="226" t="s">
        <v>420</v>
      </c>
    </row>
    <row r="77" spans="1:5" x14ac:dyDescent="0.25">
      <c r="A77" s="523" t="s">
        <v>1189</v>
      </c>
      <c r="B77" s="26" t="s">
        <v>647</v>
      </c>
      <c r="C77" s="682">
        <v>19201900539</v>
      </c>
      <c r="D77" s="659">
        <v>3.52</v>
      </c>
      <c r="E77" s="226" t="s">
        <v>420</v>
      </c>
    </row>
    <row r="78" spans="1:5" x14ac:dyDescent="0.25">
      <c r="A78" s="523" t="s">
        <v>1189</v>
      </c>
      <c r="B78" s="26" t="s">
        <v>647</v>
      </c>
      <c r="C78" s="682">
        <v>19201900534</v>
      </c>
      <c r="D78" s="659">
        <v>3.48</v>
      </c>
      <c r="E78" s="226" t="s">
        <v>420</v>
      </c>
    </row>
    <row r="79" spans="1:5" x14ac:dyDescent="0.25">
      <c r="A79" s="523" t="s">
        <v>1189</v>
      </c>
      <c r="B79" s="26" t="s">
        <v>647</v>
      </c>
      <c r="C79" s="682">
        <v>19201900542</v>
      </c>
      <c r="D79" s="659">
        <v>3.46</v>
      </c>
      <c r="E79" s="226" t="s">
        <v>420</v>
      </c>
    </row>
    <row r="80" spans="1:5" x14ac:dyDescent="0.25">
      <c r="A80" s="523" t="s">
        <v>1189</v>
      </c>
      <c r="B80" s="26" t="s">
        <v>647</v>
      </c>
      <c r="C80" s="682">
        <v>19201900547</v>
      </c>
      <c r="D80" s="659">
        <v>3.34</v>
      </c>
      <c r="E80" s="226" t="s">
        <v>420</v>
      </c>
    </row>
    <row r="81" spans="1:5" x14ac:dyDescent="0.25">
      <c r="A81" s="523" t="s">
        <v>1189</v>
      </c>
      <c r="B81" s="26" t="s">
        <v>647</v>
      </c>
      <c r="C81" s="682">
        <v>19201900443</v>
      </c>
      <c r="D81" s="659">
        <v>3.32</v>
      </c>
      <c r="E81" s="226" t="s">
        <v>420</v>
      </c>
    </row>
    <row r="82" spans="1:5" x14ac:dyDescent="0.25">
      <c r="A82" s="523" t="s">
        <v>1189</v>
      </c>
      <c r="B82" s="26" t="s">
        <v>647</v>
      </c>
      <c r="C82" s="682">
        <v>19201900510</v>
      </c>
      <c r="D82" s="659">
        <v>3.24</v>
      </c>
      <c r="E82" s="226" t="s">
        <v>420</v>
      </c>
    </row>
    <row r="83" spans="1:5" x14ac:dyDescent="0.25">
      <c r="A83" s="523" t="s">
        <v>1189</v>
      </c>
      <c r="B83" s="26" t="s">
        <v>647</v>
      </c>
      <c r="C83" s="682">
        <v>19201900467</v>
      </c>
      <c r="D83" s="659">
        <v>2.96</v>
      </c>
      <c r="E83" s="226" t="s">
        <v>420</v>
      </c>
    </row>
    <row r="84" spans="1:5" x14ac:dyDescent="0.25">
      <c r="A84" s="523" t="s">
        <v>1189</v>
      </c>
      <c r="B84" s="26" t="s">
        <v>647</v>
      </c>
      <c r="C84" s="682">
        <v>19201900546</v>
      </c>
      <c r="D84" s="659">
        <v>2.94</v>
      </c>
      <c r="E84" s="226" t="s">
        <v>420</v>
      </c>
    </row>
    <row r="85" spans="1:5" x14ac:dyDescent="0.25">
      <c r="A85" s="523" t="s">
        <v>1189</v>
      </c>
      <c r="B85" s="26" t="s">
        <v>647</v>
      </c>
      <c r="C85" s="682">
        <v>19201900470</v>
      </c>
      <c r="D85" s="659">
        <v>2.84</v>
      </c>
      <c r="E85" s="226" t="s">
        <v>420</v>
      </c>
    </row>
    <row r="86" spans="1:5" x14ac:dyDescent="0.25">
      <c r="A86" s="580" t="s">
        <v>1189</v>
      </c>
      <c r="B86" s="602" t="s">
        <v>1162</v>
      </c>
      <c r="C86" s="682">
        <v>19201900544</v>
      </c>
      <c r="D86" s="659">
        <v>4.3600000000000003</v>
      </c>
      <c r="E86" s="687" t="s">
        <v>419</v>
      </c>
    </row>
    <row r="87" spans="1:5" x14ac:dyDescent="0.25">
      <c r="A87" s="523" t="s">
        <v>1211</v>
      </c>
      <c r="B87" s="26" t="s">
        <v>645</v>
      </c>
      <c r="C87" s="2">
        <v>19201900911</v>
      </c>
      <c r="D87" s="5">
        <v>4.3600000000000003</v>
      </c>
      <c r="E87" s="687" t="s">
        <v>419</v>
      </c>
    </row>
    <row r="88" spans="1:5" x14ac:dyDescent="0.25">
      <c r="A88" s="523" t="s">
        <v>1211</v>
      </c>
      <c r="B88" s="26" t="s">
        <v>645</v>
      </c>
      <c r="C88" s="2">
        <v>19201900958</v>
      </c>
      <c r="D88" s="5">
        <v>4.32</v>
      </c>
      <c r="E88" s="687" t="s">
        <v>419</v>
      </c>
    </row>
    <row r="89" spans="1:5" x14ac:dyDescent="0.25">
      <c r="A89" s="523" t="s">
        <v>1211</v>
      </c>
      <c r="B89" s="26" t="s">
        <v>645</v>
      </c>
      <c r="C89" s="2">
        <v>19201900943</v>
      </c>
      <c r="D89" s="5">
        <v>4.29</v>
      </c>
      <c r="E89" s="687" t="s">
        <v>419</v>
      </c>
    </row>
    <row r="90" spans="1:5" x14ac:dyDescent="0.25">
      <c r="A90" s="523" t="s">
        <v>1211</v>
      </c>
      <c r="B90" s="26" t="s">
        <v>645</v>
      </c>
      <c r="C90" s="2">
        <v>19201900956</v>
      </c>
      <c r="D90" s="5">
        <v>4.18</v>
      </c>
      <c r="E90" s="687" t="s">
        <v>419</v>
      </c>
    </row>
    <row r="91" spans="1:5" x14ac:dyDescent="0.25">
      <c r="A91" s="523" t="s">
        <v>1211</v>
      </c>
      <c r="B91" s="26" t="s">
        <v>645</v>
      </c>
      <c r="C91" s="2">
        <v>19201900944</v>
      </c>
      <c r="D91" s="5">
        <v>3.97</v>
      </c>
      <c r="E91" s="687" t="s">
        <v>419</v>
      </c>
    </row>
    <row r="92" spans="1:5" x14ac:dyDescent="0.25">
      <c r="A92" s="523" t="s">
        <v>1211</v>
      </c>
      <c r="B92" s="26" t="s">
        <v>645</v>
      </c>
      <c r="C92" s="2">
        <v>19201900939</v>
      </c>
      <c r="D92" s="5">
        <v>3.91</v>
      </c>
      <c r="E92" s="687" t="s">
        <v>419</v>
      </c>
    </row>
    <row r="93" spans="1:5" x14ac:dyDescent="0.25">
      <c r="A93" s="523" t="s">
        <v>1211</v>
      </c>
      <c r="B93" s="26" t="s">
        <v>645</v>
      </c>
      <c r="C93" s="2">
        <v>19201900951</v>
      </c>
      <c r="D93" s="5">
        <v>3.89</v>
      </c>
      <c r="E93" s="687" t="s">
        <v>419</v>
      </c>
    </row>
    <row r="94" spans="1:5" x14ac:dyDescent="0.25">
      <c r="A94" s="523" t="s">
        <v>1211</v>
      </c>
      <c r="B94" s="26" t="s">
        <v>645</v>
      </c>
      <c r="C94" s="2">
        <v>19201900948</v>
      </c>
      <c r="D94" s="5">
        <v>3.83</v>
      </c>
      <c r="E94" s="687" t="s">
        <v>419</v>
      </c>
    </row>
    <row r="95" spans="1:5" x14ac:dyDescent="0.25">
      <c r="A95" s="523" t="s">
        <v>1211</v>
      </c>
      <c r="B95" s="26" t="s">
        <v>645</v>
      </c>
      <c r="C95" s="2">
        <v>19201900936</v>
      </c>
      <c r="D95" s="5">
        <v>3.79</v>
      </c>
      <c r="E95" s="687" t="s">
        <v>419</v>
      </c>
    </row>
    <row r="96" spans="1:5" x14ac:dyDescent="0.25">
      <c r="A96" s="523" t="s">
        <v>1211</v>
      </c>
      <c r="B96" s="26" t="s">
        <v>645</v>
      </c>
      <c r="C96" s="2">
        <v>19201900945</v>
      </c>
      <c r="D96" s="5">
        <v>3.74</v>
      </c>
      <c r="E96" s="226" t="s">
        <v>420</v>
      </c>
    </row>
    <row r="97" spans="1:5" x14ac:dyDescent="0.25">
      <c r="A97" s="523" t="s">
        <v>1211</v>
      </c>
      <c r="B97" s="26" t="s">
        <v>645</v>
      </c>
      <c r="C97" s="2">
        <v>19201900954</v>
      </c>
      <c r="D97" s="5">
        <v>3.69</v>
      </c>
      <c r="E97" s="226" t="s">
        <v>420</v>
      </c>
    </row>
    <row r="98" spans="1:5" x14ac:dyDescent="0.25">
      <c r="A98" s="523" t="s">
        <v>1211</v>
      </c>
      <c r="B98" s="26" t="s">
        <v>645</v>
      </c>
      <c r="C98" s="2">
        <v>19201900949</v>
      </c>
      <c r="D98" s="5">
        <v>3.67</v>
      </c>
      <c r="E98" s="226" t="s">
        <v>420</v>
      </c>
    </row>
    <row r="99" spans="1:5" x14ac:dyDescent="0.25">
      <c r="A99" s="523" t="s">
        <v>1211</v>
      </c>
      <c r="B99" s="26" t="s">
        <v>645</v>
      </c>
      <c r="C99" s="2">
        <v>19201900937</v>
      </c>
      <c r="D99" s="5">
        <v>3.6</v>
      </c>
      <c r="E99" s="226" t="s">
        <v>420</v>
      </c>
    </row>
    <row r="100" spans="1:5" x14ac:dyDescent="0.25">
      <c r="A100" s="523" t="s">
        <v>1211</v>
      </c>
      <c r="B100" s="26" t="s">
        <v>645</v>
      </c>
      <c r="C100" s="2">
        <v>19201900942</v>
      </c>
      <c r="D100" s="5">
        <v>3.4</v>
      </c>
      <c r="E100" s="226" t="s">
        <v>420</v>
      </c>
    </row>
    <row r="101" spans="1:5" x14ac:dyDescent="0.25">
      <c r="A101" s="523" t="s">
        <v>1211</v>
      </c>
      <c r="B101" s="26" t="s">
        <v>645</v>
      </c>
      <c r="C101" s="2">
        <v>19201900959</v>
      </c>
      <c r="D101" s="5">
        <v>3.38</v>
      </c>
      <c r="E101" s="226" t="s">
        <v>420</v>
      </c>
    </row>
    <row r="102" spans="1:5" x14ac:dyDescent="0.25">
      <c r="A102" s="523" t="s">
        <v>1211</v>
      </c>
      <c r="B102" s="26" t="s">
        <v>645</v>
      </c>
      <c r="C102" s="2">
        <v>19201900935</v>
      </c>
      <c r="D102" s="5">
        <v>2.99</v>
      </c>
      <c r="E102" s="226" t="s">
        <v>420</v>
      </c>
    </row>
    <row r="103" spans="1:5" x14ac:dyDescent="0.25">
      <c r="A103" s="523" t="s">
        <v>1211</v>
      </c>
      <c r="B103" s="26" t="s">
        <v>645</v>
      </c>
      <c r="C103" s="2">
        <v>19201900946</v>
      </c>
      <c r="D103" s="5">
        <v>2.19</v>
      </c>
      <c r="E103" s="226" t="s">
        <v>420</v>
      </c>
    </row>
    <row r="104" spans="1:5" x14ac:dyDescent="0.25">
      <c r="A104" s="523" t="s">
        <v>1211</v>
      </c>
      <c r="B104" s="26" t="s">
        <v>646</v>
      </c>
      <c r="C104" s="2">
        <v>19201900940</v>
      </c>
      <c r="D104" s="5">
        <v>4.47</v>
      </c>
      <c r="E104" s="687" t="s">
        <v>419</v>
      </c>
    </row>
    <row r="105" spans="1:5" x14ac:dyDescent="0.25">
      <c r="A105" s="523" t="s">
        <v>1211</v>
      </c>
      <c r="B105" s="26" t="s">
        <v>646</v>
      </c>
      <c r="C105" s="2">
        <v>19201900955</v>
      </c>
      <c r="D105" s="5">
        <v>4.47</v>
      </c>
      <c r="E105" s="687" t="s">
        <v>419</v>
      </c>
    </row>
    <row r="106" spans="1:5" x14ac:dyDescent="0.25">
      <c r="A106" s="523" t="s">
        <v>1211</v>
      </c>
      <c r="B106" s="26" t="s">
        <v>646</v>
      </c>
      <c r="C106" s="2">
        <v>19201900934</v>
      </c>
      <c r="D106" s="5">
        <v>3.51</v>
      </c>
      <c r="E106" s="687" t="s">
        <v>419</v>
      </c>
    </row>
    <row r="107" spans="1:5" x14ac:dyDescent="0.25">
      <c r="A107" s="523" t="s">
        <v>1211</v>
      </c>
      <c r="B107" s="26" t="s">
        <v>646</v>
      </c>
      <c r="C107" s="2">
        <v>19201900950</v>
      </c>
      <c r="D107" s="5">
        <v>3.49</v>
      </c>
      <c r="E107" s="687" t="s">
        <v>419</v>
      </c>
    </row>
    <row r="108" spans="1:5" x14ac:dyDescent="0.25">
      <c r="A108" s="523" t="s">
        <v>1211</v>
      </c>
      <c r="B108" s="26" t="s">
        <v>646</v>
      </c>
      <c r="C108" s="2">
        <v>19201900938</v>
      </c>
      <c r="D108" s="5">
        <v>3.23</v>
      </c>
      <c r="E108" s="687" t="s">
        <v>419</v>
      </c>
    </row>
    <row r="109" spans="1:5" x14ac:dyDescent="0.25">
      <c r="A109" s="523" t="s">
        <v>1243</v>
      </c>
      <c r="B109" s="655" t="s">
        <v>645</v>
      </c>
      <c r="C109" s="715">
        <v>19202000435</v>
      </c>
      <c r="D109" s="744">
        <v>4.42</v>
      </c>
      <c r="E109" s="687" t="s">
        <v>419</v>
      </c>
    </row>
    <row r="110" spans="1:5" x14ac:dyDescent="0.25">
      <c r="A110" s="523" t="s">
        <v>1243</v>
      </c>
      <c r="B110" s="655" t="s">
        <v>645</v>
      </c>
      <c r="C110" s="715">
        <v>19202000447</v>
      </c>
      <c r="D110" s="744">
        <v>4.34</v>
      </c>
      <c r="E110" s="687" t="s">
        <v>419</v>
      </c>
    </row>
    <row r="111" spans="1:5" x14ac:dyDescent="0.25">
      <c r="A111" s="523" t="s">
        <v>1243</v>
      </c>
      <c r="B111" s="655" t="s">
        <v>645</v>
      </c>
      <c r="C111" s="715">
        <v>19202000446</v>
      </c>
      <c r="D111" s="744">
        <v>4.3099999999999996</v>
      </c>
      <c r="E111" s="687" t="s">
        <v>419</v>
      </c>
    </row>
    <row r="112" spans="1:5" x14ac:dyDescent="0.25">
      <c r="A112" s="523" t="s">
        <v>1243</v>
      </c>
      <c r="B112" s="655" t="s">
        <v>645</v>
      </c>
      <c r="C112" s="715">
        <v>19202000456</v>
      </c>
      <c r="D112" s="744">
        <v>4.17</v>
      </c>
      <c r="E112" s="687" t="s">
        <v>419</v>
      </c>
    </row>
    <row r="113" spans="1:5" x14ac:dyDescent="0.25">
      <c r="A113" s="523" t="s">
        <v>1243</v>
      </c>
      <c r="B113" s="655" t="s">
        <v>645</v>
      </c>
      <c r="C113" s="715">
        <v>19202000462</v>
      </c>
      <c r="D113" s="744">
        <v>4.17</v>
      </c>
      <c r="E113" s="687" t="s">
        <v>419</v>
      </c>
    </row>
    <row r="114" spans="1:5" x14ac:dyDescent="0.25">
      <c r="A114" s="523" t="s">
        <v>1243</v>
      </c>
      <c r="B114" s="655" t="s">
        <v>645</v>
      </c>
      <c r="C114" s="715">
        <v>19202000454</v>
      </c>
      <c r="D114" s="744">
        <v>4.16</v>
      </c>
      <c r="E114" s="687" t="s">
        <v>419</v>
      </c>
    </row>
    <row r="115" spans="1:5" x14ac:dyDescent="0.25">
      <c r="A115" s="523" t="s">
        <v>1243</v>
      </c>
      <c r="B115" s="655" t="s">
        <v>645</v>
      </c>
      <c r="C115" s="715">
        <v>19202000452</v>
      </c>
      <c r="D115" s="744">
        <v>4.07</v>
      </c>
      <c r="E115" s="687" t="s">
        <v>419</v>
      </c>
    </row>
    <row r="116" spans="1:5" x14ac:dyDescent="0.25">
      <c r="A116" s="523" t="s">
        <v>1243</v>
      </c>
      <c r="B116" s="655" t="s">
        <v>645</v>
      </c>
      <c r="C116" s="715">
        <v>19202000438</v>
      </c>
      <c r="D116" s="744">
        <v>4.05</v>
      </c>
      <c r="E116" s="687" t="s">
        <v>419</v>
      </c>
    </row>
    <row r="117" spans="1:5" x14ac:dyDescent="0.25">
      <c r="A117" s="523" t="s">
        <v>1243</v>
      </c>
      <c r="B117" s="655" t="s">
        <v>645</v>
      </c>
      <c r="C117" s="715">
        <v>19202000439</v>
      </c>
      <c r="D117" s="744">
        <v>3.99</v>
      </c>
      <c r="E117" s="687" t="s">
        <v>419</v>
      </c>
    </row>
    <row r="118" spans="1:5" x14ac:dyDescent="0.25">
      <c r="A118" s="523" t="s">
        <v>1243</v>
      </c>
      <c r="B118" s="655" t="s">
        <v>645</v>
      </c>
      <c r="C118" s="715">
        <v>19202000442</v>
      </c>
      <c r="D118" s="744">
        <v>3.86</v>
      </c>
      <c r="E118" s="687" t="s">
        <v>419</v>
      </c>
    </row>
    <row r="119" spans="1:5" x14ac:dyDescent="0.25">
      <c r="A119" s="523" t="s">
        <v>1243</v>
      </c>
      <c r="B119" s="655" t="s">
        <v>645</v>
      </c>
      <c r="C119" s="715">
        <v>19202000453</v>
      </c>
      <c r="D119" s="744">
        <v>3.79</v>
      </c>
      <c r="E119" s="687" t="s">
        <v>419</v>
      </c>
    </row>
    <row r="120" spans="1:5" x14ac:dyDescent="0.25">
      <c r="A120" s="523" t="s">
        <v>1243</v>
      </c>
      <c r="B120" s="655" t="s">
        <v>645</v>
      </c>
      <c r="C120" s="715">
        <v>19202000441</v>
      </c>
      <c r="D120" s="744">
        <v>3.56</v>
      </c>
      <c r="E120" s="687" t="s">
        <v>419</v>
      </c>
    </row>
    <row r="121" spans="1:5" x14ac:dyDescent="0.25">
      <c r="A121" s="523" t="s">
        <v>1243</v>
      </c>
      <c r="B121" s="655" t="s">
        <v>645</v>
      </c>
      <c r="C121" s="715">
        <v>19202000436</v>
      </c>
      <c r="D121" s="744">
        <v>3.4</v>
      </c>
      <c r="E121" s="687" t="s">
        <v>419</v>
      </c>
    </row>
    <row r="122" spans="1:5" x14ac:dyDescent="0.25">
      <c r="A122" s="523" t="s">
        <v>1243</v>
      </c>
      <c r="B122" s="655" t="s">
        <v>645</v>
      </c>
      <c r="C122" s="715">
        <v>19202000443</v>
      </c>
      <c r="D122" s="744">
        <v>3.31</v>
      </c>
      <c r="E122" s="687" t="s">
        <v>419</v>
      </c>
    </row>
    <row r="123" spans="1:5" x14ac:dyDescent="0.25">
      <c r="A123" s="745" t="s">
        <v>1243</v>
      </c>
      <c r="B123" s="746" t="s">
        <v>645</v>
      </c>
      <c r="C123" s="645">
        <v>19202000457</v>
      </c>
      <c r="D123" s="624">
        <v>3.64</v>
      </c>
      <c r="E123" s="747" t="s">
        <v>420</v>
      </c>
    </row>
    <row r="124" spans="1:5" x14ac:dyDescent="0.25">
      <c r="A124" s="745" t="s">
        <v>1243</v>
      </c>
      <c r="B124" s="746" t="s">
        <v>645</v>
      </c>
      <c r="C124" s="645">
        <v>19202000463</v>
      </c>
      <c r="D124" s="624">
        <v>3.29</v>
      </c>
      <c r="E124" s="747" t="s">
        <v>420</v>
      </c>
    </row>
    <row r="125" spans="1:5" x14ac:dyDescent="0.25">
      <c r="A125" s="745" t="s">
        <v>1243</v>
      </c>
      <c r="B125" s="746" t="s">
        <v>645</v>
      </c>
      <c r="C125" s="645">
        <v>19202000440</v>
      </c>
      <c r="D125" s="624">
        <v>3.13</v>
      </c>
      <c r="E125" s="747" t="s">
        <v>420</v>
      </c>
    </row>
    <row r="126" spans="1:5" x14ac:dyDescent="0.25">
      <c r="A126" s="745" t="s">
        <v>1243</v>
      </c>
      <c r="B126" s="746" t="s">
        <v>645</v>
      </c>
      <c r="C126" s="645">
        <v>19202000448</v>
      </c>
      <c r="D126" s="624">
        <v>2.81</v>
      </c>
      <c r="E126" s="747" t="s">
        <v>420</v>
      </c>
    </row>
    <row r="127" spans="1:5" x14ac:dyDescent="0.25">
      <c r="A127" s="755" t="s">
        <v>1243</v>
      </c>
      <c r="B127" s="749" t="s">
        <v>645</v>
      </c>
      <c r="C127" s="750">
        <v>19202000451</v>
      </c>
      <c r="D127" s="751">
        <v>2.8</v>
      </c>
      <c r="E127" s="752" t="s">
        <v>420</v>
      </c>
    </row>
    <row r="128" spans="1:5" x14ac:dyDescent="0.25">
      <c r="A128" s="745" t="s">
        <v>1243</v>
      </c>
      <c r="B128" s="26" t="s">
        <v>647</v>
      </c>
      <c r="C128" s="753">
        <v>19202000459</v>
      </c>
      <c r="D128" s="756">
        <v>4.42</v>
      </c>
      <c r="E128" s="301" t="s">
        <v>419</v>
      </c>
    </row>
    <row r="129" spans="1:5" x14ac:dyDescent="0.25">
      <c r="A129" s="745" t="s">
        <v>1243</v>
      </c>
      <c r="B129" s="26" t="s">
        <v>647</v>
      </c>
      <c r="C129" s="754">
        <v>19202000444</v>
      </c>
      <c r="D129" s="756">
        <v>4.38</v>
      </c>
      <c r="E129" s="301" t="s">
        <v>419</v>
      </c>
    </row>
    <row r="130" spans="1:5" x14ac:dyDescent="0.25">
      <c r="A130" s="745" t="s">
        <v>1243</v>
      </c>
      <c r="B130" s="26" t="s">
        <v>647</v>
      </c>
      <c r="C130" s="754">
        <v>19202000437</v>
      </c>
      <c r="D130" s="756">
        <v>4.04</v>
      </c>
      <c r="E130" s="301" t="s">
        <v>419</v>
      </c>
    </row>
    <row r="131" spans="1:5" x14ac:dyDescent="0.25">
      <c r="A131" s="745" t="s">
        <v>1243</v>
      </c>
      <c r="B131" s="26" t="s">
        <v>647</v>
      </c>
      <c r="C131" s="754">
        <v>19202000445</v>
      </c>
      <c r="D131" s="756">
        <v>3.98</v>
      </c>
      <c r="E131" s="301" t="s">
        <v>419</v>
      </c>
    </row>
    <row r="132" spans="1:5" x14ac:dyDescent="0.25">
      <c r="A132" s="745" t="s">
        <v>1243</v>
      </c>
      <c r="B132" s="26" t="s">
        <v>647</v>
      </c>
      <c r="C132" s="754">
        <v>19202000449</v>
      </c>
      <c r="D132" s="756">
        <v>3.9</v>
      </c>
      <c r="E132" s="301" t="s">
        <v>419</v>
      </c>
    </row>
    <row r="133" spans="1:5" x14ac:dyDescent="0.25">
      <c r="A133" s="745" t="s">
        <v>1243</v>
      </c>
      <c r="B133" s="26" t="s">
        <v>647</v>
      </c>
      <c r="C133" s="754">
        <v>19202000458</v>
      </c>
      <c r="D133" s="756">
        <v>2.76</v>
      </c>
      <c r="E133" s="226" t="s">
        <v>420</v>
      </c>
    </row>
    <row r="134" spans="1:5" x14ac:dyDescent="0.25">
      <c r="A134" s="2" t="s">
        <v>1336</v>
      </c>
      <c r="B134" s="2" t="s">
        <v>1335</v>
      </c>
      <c r="C134" s="2">
        <v>19202100407</v>
      </c>
      <c r="D134" s="5">
        <v>3.95</v>
      </c>
      <c r="E134" s="301" t="s">
        <v>419</v>
      </c>
    </row>
    <row r="135" spans="1:5" x14ac:dyDescent="0.25">
      <c r="A135" s="2" t="s">
        <v>1336</v>
      </c>
      <c r="B135" s="2" t="s">
        <v>1335</v>
      </c>
      <c r="C135" s="2">
        <v>19202100405</v>
      </c>
      <c r="D135" s="5">
        <v>3.74</v>
      </c>
      <c r="E135" s="301" t="s">
        <v>419</v>
      </c>
    </row>
    <row r="136" spans="1:5" x14ac:dyDescent="0.25">
      <c r="A136" s="2" t="s">
        <v>1336</v>
      </c>
      <c r="B136" s="2" t="s">
        <v>1335</v>
      </c>
      <c r="C136" s="2">
        <v>19202100408</v>
      </c>
      <c r="D136" s="5">
        <v>3.71</v>
      </c>
      <c r="E136" s="301" t="s">
        <v>419</v>
      </c>
    </row>
    <row r="137" spans="1:5" x14ac:dyDescent="0.25">
      <c r="A137" s="2" t="s">
        <v>1336</v>
      </c>
      <c r="B137" s="2" t="s">
        <v>1335</v>
      </c>
      <c r="C137" s="2">
        <v>19202100391</v>
      </c>
      <c r="D137" s="5">
        <v>3.69</v>
      </c>
      <c r="E137" s="301" t="s">
        <v>419</v>
      </c>
    </row>
    <row r="138" spans="1:5" x14ac:dyDescent="0.25">
      <c r="A138" s="2" t="s">
        <v>1336</v>
      </c>
      <c r="B138" s="2" t="s">
        <v>1335</v>
      </c>
      <c r="C138" s="2">
        <v>19202100413</v>
      </c>
      <c r="D138" s="5">
        <v>3.69</v>
      </c>
      <c r="E138" s="301" t="s">
        <v>419</v>
      </c>
    </row>
    <row r="139" spans="1:5" x14ac:dyDescent="0.25">
      <c r="A139" s="2" t="s">
        <v>1336</v>
      </c>
      <c r="B139" s="2" t="s">
        <v>1335</v>
      </c>
      <c r="C139" s="2">
        <v>19202100379</v>
      </c>
      <c r="D139" s="5">
        <v>3.6</v>
      </c>
      <c r="E139" s="301" t="s">
        <v>419</v>
      </c>
    </row>
    <row r="140" spans="1:5" x14ac:dyDescent="0.25">
      <c r="A140" s="2" t="s">
        <v>1336</v>
      </c>
      <c r="B140" s="2" t="s">
        <v>1335</v>
      </c>
      <c r="C140" s="2">
        <v>19202100403</v>
      </c>
      <c r="D140" s="5">
        <v>3.58</v>
      </c>
      <c r="E140" s="301" t="s">
        <v>419</v>
      </c>
    </row>
    <row r="141" spans="1:5" x14ac:dyDescent="0.25">
      <c r="A141" s="2" t="s">
        <v>1336</v>
      </c>
      <c r="B141" s="2" t="s">
        <v>1335</v>
      </c>
      <c r="C141" s="2">
        <v>19202100392</v>
      </c>
      <c r="D141" s="5">
        <v>3.57</v>
      </c>
      <c r="E141" s="301" t="s">
        <v>419</v>
      </c>
    </row>
    <row r="142" spans="1:5" x14ac:dyDescent="0.25">
      <c r="A142" s="2" t="s">
        <v>1336</v>
      </c>
      <c r="B142" s="2" t="s">
        <v>1335</v>
      </c>
      <c r="C142" s="2">
        <v>19202100388</v>
      </c>
      <c r="D142" s="5">
        <v>3.54</v>
      </c>
      <c r="E142" s="301" t="s">
        <v>419</v>
      </c>
    </row>
    <row r="143" spans="1:5" x14ac:dyDescent="0.25">
      <c r="A143" s="2" t="s">
        <v>1336</v>
      </c>
      <c r="B143" s="2" t="s">
        <v>1335</v>
      </c>
      <c r="C143" s="2">
        <v>19202100479</v>
      </c>
      <c r="D143" s="5">
        <v>3.41</v>
      </c>
      <c r="E143" s="301" t="s">
        <v>419</v>
      </c>
    </row>
    <row r="144" spans="1:5" x14ac:dyDescent="0.25">
      <c r="A144" s="2" t="s">
        <v>1336</v>
      </c>
      <c r="B144" s="2" t="s">
        <v>1335</v>
      </c>
      <c r="C144" s="2">
        <v>19202100411</v>
      </c>
      <c r="D144" s="5">
        <v>3.12</v>
      </c>
      <c r="E144" s="301" t="s">
        <v>419</v>
      </c>
    </row>
    <row r="145" spans="1:5" x14ac:dyDescent="0.25">
      <c r="A145" s="646" t="s">
        <v>1446</v>
      </c>
      <c r="B145" t="s">
        <v>1447</v>
      </c>
      <c r="C145" s="829">
        <v>19202101257</v>
      </c>
      <c r="D145" s="21">
        <v>4.17</v>
      </c>
      <c r="E145" s="301" t="s">
        <v>419</v>
      </c>
    </row>
    <row r="146" spans="1:5" x14ac:dyDescent="0.25">
      <c r="A146" s="646" t="s">
        <v>1446</v>
      </c>
      <c r="B146" s="829" t="s">
        <v>1447</v>
      </c>
      <c r="C146" s="829">
        <v>19202101251</v>
      </c>
      <c r="D146" s="21">
        <v>4.16</v>
      </c>
      <c r="E146" s="301" t="s">
        <v>419</v>
      </c>
    </row>
    <row r="147" spans="1:5" x14ac:dyDescent="0.25">
      <c r="A147" s="646" t="s">
        <v>1446</v>
      </c>
      <c r="B147" s="829" t="s">
        <v>1447</v>
      </c>
      <c r="C147" s="829">
        <v>19202101260</v>
      </c>
      <c r="D147" s="21">
        <v>3.88</v>
      </c>
      <c r="E147" s="301" t="s">
        <v>419</v>
      </c>
    </row>
    <row r="148" spans="1:5" x14ac:dyDescent="0.25">
      <c r="A148" s="646" t="s">
        <v>1446</v>
      </c>
      <c r="B148" s="829" t="s">
        <v>1447</v>
      </c>
      <c r="C148" s="829">
        <v>19202101258</v>
      </c>
      <c r="D148" s="21">
        <v>3.87</v>
      </c>
      <c r="E148" s="301" t="s">
        <v>419</v>
      </c>
    </row>
    <row r="149" spans="1:5" x14ac:dyDescent="0.25">
      <c r="A149" s="646" t="s">
        <v>1446</v>
      </c>
      <c r="B149" s="829" t="s">
        <v>1447</v>
      </c>
      <c r="C149" s="829">
        <v>19202101221</v>
      </c>
      <c r="D149" s="21">
        <v>3.41</v>
      </c>
      <c r="E149" s="301" t="s">
        <v>419</v>
      </c>
    </row>
    <row r="150" spans="1:5" x14ac:dyDescent="0.25">
      <c r="A150" s="646" t="s">
        <v>1446</v>
      </c>
      <c r="B150" s="829" t="s">
        <v>1447</v>
      </c>
      <c r="C150" s="829">
        <v>19202101263</v>
      </c>
      <c r="D150" s="21">
        <v>3.4</v>
      </c>
      <c r="E150" s="301" t="s">
        <v>419</v>
      </c>
    </row>
    <row r="151" spans="1:5" x14ac:dyDescent="0.25">
      <c r="A151" s="646" t="s">
        <v>1446</v>
      </c>
      <c r="B151" s="829" t="s">
        <v>1447</v>
      </c>
      <c r="C151" s="829">
        <v>19202101266</v>
      </c>
      <c r="D151" s="21">
        <v>3.35</v>
      </c>
      <c r="E151" s="301" t="s">
        <v>419</v>
      </c>
    </row>
    <row r="152" spans="1:5" x14ac:dyDescent="0.25">
      <c r="A152" s="646" t="s">
        <v>1446</v>
      </c>
      <c r="B152" s="829" t="s">
        <v>1447</v>
      </c>
      <c r="C152" s="829">
        <v>19202101265</v>
      </c>
      <c r="D152" s="21">
        <v>3.17</v>
      </c>
      <c r="E152" s="301" t="s">
        <v>419</v>
      </c>
    </row>
    <row r="153" spans="1:5" x14ac:dyDescent="0.25">
      <c r="A153" s="646" t="s">
        <v>1446</v>
      </c>
      <c r="B153" s="829" t="s">
        <v>1447</v>
      </c>
      <c r="C153" s="829">
        <v>19202101255</v>
      </c>
      <c r="D153" s="21">
        <v>2.78</v>
      </c>
      <c r="E153" s="747" t="s">
        <v>420</v>
      </c>
    </row>
    <row r="154" spans="1:5" x14ac:dyDescent="0.25">
      <c r="A154" s="646" t="s">
        <v>1446</v>
      </c>
      <c r="B154" s="829" t="s">
        <v>1447</v>
      </c>
      <c r="C154" s="829">
        <v>19202101256</v>
      </c>
      <c r="D154" s="21">
        <v>2.63</v>
      </c>
      <c r="E154" s="747" t="s">
        <v>420</v>
      </c>
    </row>
    <row r="155" spans="1:5" x14ac:dyDescent="0.25">
      <c r="A155" s="646" t="s">
        <v>1446</v>
      </c>
      <c r="B155" s="829" t="s">
        <v>1447</v>
      </c>
      <c r="C155" s="829">
        <v>19202101264</v>
      </c>
      <c r="D155" s="21">
        <v>2.57</v>
      </c>
      <c r="E155" s="747" t="s">
        <v>420</v>
      </c>
    </row>
    <row r="156" spans="1:5" x14ac:dyDescent="0.25">
      <c r="A156" s="646" t="s">
        <v>1446</v>
      </c>
      <c r="B156" s="831" t="s">
        <v>1448</v>
      </c>
      <c r="C156" s="829">
        <v>19202101259</v>
      </c>
      <c r="D156" s="21">
        <v>3.52</v>
      </c>
      <c r="E156" s="301" t="s">
        <v>419</v>
      </c>
    </row>
    <row r="157" spans="1:5" x14ac:dyDescent="0.25">
      <c r="A157" s="646" t="s">
        <v>1446</v>
      </c>
      <c r="B157" s="831" t="s">
        <v>1448</v>
      </c>
      <c r="C157" s="829">
        <v>19202101261</v>
      </c>
      <c r="D157" s="21">
        <v>3.26</v>
      </c>
      <c r="E157" s="301" t="s">
        <v>419</v>
      </c>
    </row>
    <row r="158" spans="1:5" x14ac:dyDescent="0.25">
      <c r="A158" s="646" t="s">
        <v>1446</v>
      </c>
      <c r="B158" t="s">
        <v>1449</v>
      </c>
      <c r="C158" s="829">
        <v>19202101253</v>
      </c>
      <c r="D158" s="21">
        <v>4.0999999999999996</v>
      </c>
      <c r="E158" s="301" t="s">
        <v>419</v>
      </c>
    </row>
    <row r="159" spans="1:5" x14ac:dyDescent="0.25">
      <c r="A159" s="646" t="s">
        <v>1446</v>
      </c>
      <c r="B159" s="829" t="s">
        <v>1449</v>
      </c>
      <c r="C159" s="829">
        <v>19202101224</v>
      </c>
      <c r="D159" s="21">
        <v>4.0599999999999996</v>
      </c>
      <c r="E159" s="301" t="s">
        <v>419</v>
      </c>
    </row>
    <row r="160" spans="1:5" x14ac:dyDescent="0.25">
      <c r="A160" s="646" t="s">
        <v>1446</v>
      </c>
      <c r="B160" s="829" t="s">
        <v>1449</v>
      </c>
      <c r="C160" s="829">
        <v>19202101262</v>
      </c>
      <c r="D160" s="21">
        <v>3.78</v>
      </c>
      <c r="E160" s="301" t="s">
        <v>419</v>
      </c>
    </row>
    <row r="161" spans="1:5" x14ac:dyDescent="0.25">
      <c r="A161" s="646" t="s">
        <v>1446</v>
      </c>
      <c r="B161" s="829" t="s">
        <v>1449</v>
      </c>
      <c r="C161" s="829">
        <v>19202101250</v>
      </c>
      <c r="D161" s="21">
        <v>3.74</v>
      </c>
      <c r="E161" s="301" t="s">
        <v>419</v>
      </c>
    </row>
    <row r="162" spans="1:5" x14ac:dyDescent="0.25">
      <c r="A162" s="646" t="s">
        <v>1446</v>
      </c>
      <c r="B162" s="829" t="s">
        <v>1449</v>
      </c>
      <c r="C162" s="829">
        <v>19202101198</v>
      </c>
      <c r="D162" s="21">
        <v>3.62</v>
      </c>
      <c r="E162" s="301" t="s">
        <v>419</v>
      </c>
    </row>
    <row r="163" spans="1:5" x14ac:dyDescent="0.25">
      <c r="A163" s="646" t="s">
        <v>1446</v>
      </c>
      <c r="B163" s="829" t="s">
        <v>1449</v>
      </c>
      <c r="C163" s="829">
        <v>19202101225</v>
      </c>
      <c r="D163" s="21">
        <v>3.6</v>
      </c>
      <c r="E163" s="747" t="s">
        <v>420</v>
      </c>
    </row>
    <row r="164" spans="1:5" x14ac:dyDescent="0.25">
      <c r="A164" s="646" t="s">
        <v>1446</v>
      </c>
      <c r="B164" s="829" t="s">
        <v>1449</v>
      </c>
      <c r="C164" s="829">
        <v>19202101252</v>
      </c>
      <c r="D164" s="21">
        <v>3.56</v>
      </c>
      <c r="E164" s="747" t="s">
        <v>420</v>
      </c>
    </row>
    <row r="165" spans="1:5" x14ac:dyDescent="0.25">
      <c r="A165" s="646" t="s">
        <v>1446</v>
      </c>
      <c r="B165" s="829" t="s">
        <v>1449</v>
      </c>
      <c r="C165" s="829">
        <v>19202101267</v>
      </c>
      <c r="D165" s="21">
        <v>3.36</v>
      </c>
      <c r="E165" s="747" t="s">
        <v>420</v>
      </c>
    </row>
    <row r="166" spans="1:5" x14ac:dyDescent="0.25">
      <c r="A166" s="646" t="s">
        <v>1446</v>
      </c>
      <c r="B166" s="829" t="s">
        <v>1449</v>
      </c>
      <c r="C166" s="829">
        <v>19202101254</v>
      </c>
      <c r="D166" s="21">
        <v>3.18</v>
      </c>
      <c r="E166" s="747" t="s">
        <v>420</v>
      </c>
    </row>
    <row r="167" spans="1:5" x14ac:dyDescent="0.25">
      <c r="A167" t="s">
        <v>1546</v>
      </c>
      <c r="B167" t="s">
        <v>1547</v>
      </c>
      <c r="C167" s="829">
        <v>19202200149</v>
      </c>
      <c r="D167" s="829">
        <v>4.2699999999999996</v>
      </c>
      <c r="E167" s="301" t="s">
        <v>419</v>
      </c>
    </row>
    <row r="168" spans="1:5" x14ac:dyDescent="0.25">
      <c r="A168" s="829" t="s">
        <v>1546</v>
      </c>
      <c r="B168" s="829" t="s">
        <v>1547</v>
      </c>
      <c r="C168" s="829">
        <v>19202200123</v>
      </c>
      <c r="D168" s="829">
        <v>4.1100000000000003</v>
      </c>
      <c r="E168" s="301" t="s">
        <v>419</v>
      </c>
    </row>
    <row r="169" spans="1:5" x14ac:dyDescent="0.25">
      <c r="A169" s="829" t="s">
        <v>1546</v>
      </c>
      <c r="B169" s="829" t="s">
        <v>1547</v>
      </c>
      <c r="C169" s="829">
        <v>19202200150</v>
      </c>
      <c r="D169" s="829">
        <v>4.0199999999999996</v>
      </c>
      <c r="E169" s="301" t="s">
        <v>419</v>
      </c>
    </row>
    <row r="170" spans="1:5" x14ac:dyDescent="0.25">
      <c r="A170" s="829" t="s">
        <v>1546</v>
      </c>
      <c r="B170" s="829" t="s">
        <v>1547</v>
      </c>
      <c r="C170" s="829">
        <v>19202200160</v>
      </c>
      <c r="D170" s="829">
        <v>3.88</v>
      </c>
      <c r="E170" s="301" t="s">
        <v>419</v>
      </c>
    </row>
    <row r="171" spans="1:5" x14ac:dyDescent="0.25">
      <c r="A171" s="829" t="s">
        <v>1546</v>
      </c>
      <c r="B171" s="829" t="s">
        <v>1547</v>
      </c>
      <c r="C171" s="829">
        <v>19202200159</v>
      </c>
      <c r="D171" s="829">
        <v>3.57</v>
      </c>
      <c r="E171" s="301" t="s">
        <v>419</v>
      </c>
    </row>
    <row r="172" spans="1:5" x14ac:dyDescent="0.25">
      <c r="A172" s="829" t="s">
        <v>1546</v>
      </c>
      <c r="B172" s="829" t="s">
        <v>1547</v>
      </c>
      <c r="C172" s="829">
        <v>19202200154</v>
      </c>
      <c r="D172" s="829">
        <v>3.07</v>
      </c>
      <c r="E172" s="301" t="s">
        <v>419</v>
      </c>
    </row>
    <row r="173" spans="1:5" x14ac:dyDescent="0.25">
      <c r="A173" s="829" t="s">
        <v>1546</v>
      </c>
      <c r="B173" s="829" t="s">
        <v>1547</v>
      </c>
      <c r="C173" s="829">
        <v>19202200146</v>
      </c>
      <c r="D173" s="829">
        <v>2.96</v>
      </c>
      <c r="E173" s="747" t="s">
        <v>420</v>
      </c>
    </row>
    <row r="174" spans="1:5" x14ac:dyDescent="0.25">
      <c r="A174" s="829" t="s">
        <v>1546</v>
      </c>
      <c r="B174" s="829" t="s">
        <v>1547</v>
      </c>
      <c r="C174" s="829">
        <v>19202200157</v>
      </c>
      <c r="D174" s="829">
        <v>2.8</v>
      </c>
      <c r="E174" s="747" t="s">
        <v>420</v>
      </c>
    </row>
    <row r="175" spans="1:5" x14ac:dyDescent="0.25">
      <c r="A175" s="829" t="s">
        <v>1546</v>
      </c>
      <c r="B175" s="829" t="s">
        <v>1548</v>
      </c>
      <c r="C175" s="829">
        <v>19202200152</v>
      </c>
      <c r="D175" s="829">
        <v>4</v>
      </c>
      <c r="E175" s="301" t="s">
        <v>419</v>
      </c>
    </row>
    <row r="176" spans="1:5" x14ac:dyDescent="0.25">
      <c r="A176" s="829" t="s">
        <v>1546</v>
      </c>
      <c r="B176" s="829" t="s">
        <v>1548</v>
      </c>
      <c r="C176" s="829">
        <v>19202200145</v>
      </c>
      <c r="D176" s="829">
        <v>3.9</v>
      </c>
      <c r="E176" s="301" t="s">
        <v>419</v>
      </c>
    </row>
    <row r="177" spans="1:5" x14ac:dyDescent="0.25">
      <c r="A177" s="829" t="s">
        <v>1546</v>
      </c>
      <c r="B177" s="829" t="s">
        <v>1548</v>
      </c>
      <c r="C177" s="829">
        <v>19202200137</v>
      </c>
      <c r="D177" s="829">
        <v>3.72</v>
      </c>
      <c r="E177" s="301" t="s">
        <v>419</v>
      </c>
    </row>
    <row r="178" spans="1:5" x14ac:dyDescent="0.25">
      <c r="A178" s="829" t="s">
        <v>1546</v>
      </c>
      <c r="B178" s="829" t="s">
        <v>1548</v>
      </c>
      <c r="C178" s="829">
        <v>19202200097</v>
      </c>
      <c r="D178" s="829">
        <v>3.66</v>
      </c>
      <c r="E178" s="301" t="s">
        <v>419</v>
      </c>
    </row>
    <row r="179" spans="1:5" x14ac:dyDescent="0.25">
      <c r="A179" s="829" t="s">
        <v>1546</v>
      </c>
      <c r="B179" s="829" t="s">
        <v>1548</v>
      </c>
      <c r="C179" s="829">
        <v>19202200153</v>
      </c>
      <c r="D179" s="829">
        <v>3.4</v>
      </c>
      <c r="E179" s="301" t="s">
        <v>419</v>
      </c>
    </row>
    <row r="180" spans="1:5" x14ac:dyDescent="0.25">
      <c r="A180" s="829" t="s">
        <v>1546</v>
      </c>
      <c r="B180" s="829" t="s">
        <v>1548</v>
      </c>
      <c r="C180" s="829">
        <v>19202200148</v>
      </c>
      <c r="D180" s="829">
        <v>3.2</v>
      </c>
      <c r="E180" s="747" t="s">
        <v>420</v>
      </c>
    </row>
    <row r="181" spans="1:5" x14ac:dyDescent="0.25">
      <c r="A181" s="829" t="s">
        <v>1546</v>
      </c>
      <c r="B181" s="829" t="s">
        <v>1548</v>
      </c>
      <c r="C181" s="829">
        <v>19202200151</v>
      </c>
      <c r="D181" s="829">
        <v>3.14</v>
      </c>
      <c r="E181" s="747" t="s">
        <v>420</v>
      </c>
    </row>
    <row r="182" spans="1:5" x14ac:dyDescent="0.25">
      <c r="A182" s="829" t="s">
        <v>1546</v>
      </c>
      <c r="B182" s="829" t="s">
        <v>1548</v>
      </c>
      <c r="C182" s="829">
        <v>19202200158</v>
      </c>
      <c r="D182" s="829">
        <v>3.14</v>
      </c>
      <c r="E182" s="747" t="s">
        <v>420</v>
      </c>
    </row>
    <row r="183" spans="1:5" x14ac:dyDescent="0.25">
      <c r="A183" s="829" t="s">
        <v>1546</v>
      </c>
      <c r="B183" s="829" t="s">
        <v>1548</v>
      </c>
      <c r="C183" s="829">
        <v>19202200070</v>
      </c>
      <c r="D183" s="829">
        <v>3.1</v>
      </c>
      <c r="E183" s="747" t="s">
        <v>420</v>
      </c>
    </row>
    <row r="184" spans="1:5" x14ac:dyDescent="0.25">
      <c r="C184" s="829">
        <v>19202200147</v>
      </c>
      <c r="D184" s="829">
        <v>2.72</v>
      </c>
      <c r="E184" s="747" t="s">
        <v>420</v>
      </c>
    </row>
  </sheetData>
  <mergeCells count="1">
    <mergeCell ref="A1:E1"/>
  </mergeCells>
  <hyperlinks>
    <hyperlink ref="C71" r:id="rId1" location="/router?komponent=taotlus&amp;id=623805&amp;kuva=ava" display="https://pms.arib.pria.ee/pms-menetlus/ - /router?komponent=taotlus&amp;id=623805&amp;kuva=ava"/>
    <hyperlink ref="C72" r:id="rId2" location="/router?komponent=taotlus&amp;id=628834&amp;kuva=ava" display="https://pms.arib.pria.ee/pms-menetlus/ - /router?komponent=taotlus&amp;id=628834&amp;kuva=ava"/>
    <hyperlink ref="C73" r:id="rId3" location="/router?komponent=taotlus&amp;id=617227&amp;kuva=ava" display="https://pms.arib.pria.ee/pms-menetlus/ - /router?komponent=taotlus&amp;id=617227&amp;kuva=ava"/>
    <hyperlink ref="C74" r:id="rId4" location="/router?komponent=taotlus&amp;id=618473&amp;kuva=ava" display="https://pms.arib.pria.ee/pms-menetlus/ - /router?komponent=taotlus&amp;id=618473&amp;kuva=ava"/>
    <hyperlink ref="C75" r:id="rId5" location="/router?komponent=taotlus&amp;id=630356&amp;kuva=ava" display="https://pms.arib.pria.ee/pms-menetlus/ - /router?komponent=taotlus&amp;id=630356&amp;kuva=ava"/>
    <hyperlink ref="C76" r:id="rId6" location="/router?komponent=taotlus&amp;id=628810&amp;kuva=ava" display="https://pms.arib.pria.ee/pms-menetlus/ - /router?komponent=taotlus&amp;id=628810&amp;kuva=ava"/>
    <hyperlink ref="C77" r:id="rId7" location="/router?komponent=taotlus&amp;id=629496&amp;kuva=ava" display="https://pms.arib.pria.ee/pms-menetlus/ - /router?komponent=taotlus&amp;id=629496&amp;kuva=ava"/>
    <hyperlink ref="C78" r:id="rId8" location="/router?komponent=taotlus&amp;id=628831&amp;kuva=ava" display="https://pms.arib.pria.ee/pms-menetlus/ - /router?komponent=taotlus&amp;id=628831&amp;kuva=ava"/>
    <hyperlink ref="C79" r:id="rId9" location="/router?komponent=taotlus&amp;id=617084&amp;kuva=ava" display="https://pms.arib.pria.ee/pms-menetlus/ - /router?komponent=taotlus&amp;id=617084&amp;kuva=ava"/>
    <hyperlink ref="C80" r:id="rId10" location="/router?komponent=taotlus&amp;id=630360&amp;kuva=ava" display="https://pms.arib.pria.ee/pms-menetlus/ - /router?komponent=taotlus&amp;id=630360&amp;kuva=ava"/>
    <hyperlink ref="C81" r:id="rId11" location="/router?komponent=taotlus&amp;id=616456&amp;kuva=ava" display="https://pms.arib.pria.ee/pms-menetlus/ - /router?komponent=taotlus&amp;id=616456&amp;kuva=ava"/>
    <hyperlink ref="C82" r:id="rId12" location="/router?komponent=taotlus&amp;id=620507&amp;kuva=ava" display="https://pms.arib.pria.ee/pms-menetlus/ - /router?komponent=taotlus&amp;id=620507&amp;kuva=ava"/>
    <hyperlink ref="C83" r:id="rId13" location="/router?komponent=taotlus&amp;id=618932&amp;kuva=ava" display="https://pms.arib.pria.ee/pms-menetlus/ - /router?komponent=taotlus&amp;id=618932&amp;kuva=ava"/>
    <hyperlink ref="C84" r:id="rId14" location="/router?komponent=taotlus&amp;id=626281&amp;kuva=ava" display="https://pms.arib.pria.ee/pms-menetlus/ - /router?komponent=taotlus&amp;id=626281&amp;kuva=ava"/>
    <hyperlink ref="C85" r:id="rId15" location="/router?komponent=taotlus&amp;id=618982&amp;kuva=ava" display="https://pms.arib.pria.ee/pms-menetlus/ - /router?komponent=taotlus&amp;id=618982&amp;kuva=ava"/>
    <hyperlink ref="C86" r:id="rId16" location="/router?komponent=taotlus&amp;id=624019&amp;kuva=ava" display="https://pms.arib.pria.ee/pms-menetlus/ - /router?komponent=taotlus&amp;id=624019&amp;kuva=ava"/>
    <hyperlink ref="C109" r:id="rId17" location="/router?komponent=taotlus&amp;id=908994&amp;kuva=ava" display="https://pms.arib.pria.ee/pms-menetlus/ - /router?komponent=taotlus&amp;id=908994&amp;kuva=ava"/>
    <hyperlink ref="C110" r:id="rId18" location="/router?komponent=taotlus&amp;id=917271&amp;kuva=ava" display="https://pms.arib.pria.ee/pms-menetlus/ - /router?komponent=taotlus&amp;id=917271&amp;kuva=ava"/>
    <hyperlink ref="C111" r:id="rId19" location="/router?komponent=taotlus&amp;id=914314&amp;kuva=ava" display="https://pms.arib.pria.ee/pms-menetlus/ - /router?komponent=taotlus&amp;id=914314&amp;kuva=ava"/>
    <hyperlink ref="C112" r:id="rId20" location="/router?komponent=taotlus&amp;id=909298&amp;kuva=ava" display="https://pms.arib.pria.ee/pms-menetlus/ - /router?komponent=taotlus&amp;id=909298&amp;kuva=ava"/>
    <hyperlink ref="C113" r:id="rId21" location="/router?komponent=taotlus&amp;id=919941&amp;kuva=ava" display="https://pms.arib.pria.ee/pms-menetlus/ - /router?komponent=taotlus&amp;id=919941&amp;kuva=ava"/>
    <hyperlink ref="C114" r:id="rId22" location="/router?komponent=taotlus&amp;id=913727&amp;kuva=ava" display="https://pms.arib.pria.ee/pms-menetlus/ - /router?komponent=taotlus&amp;id=913727&amp;kuva=ava"/>
    <hyperlink ref="C115" r:id="rId23" location="/router?komponent=taotlus&amp;id=917232&amp;kuva=ava" display="https://pms.arib.pria.ee/pms-menetlus/ - /router?komponent=taotlus&amp;id=917232&amp;kuva=ava"/>
    <hyperlink ref="C116" r:id="rId24" location="/router?komponent=taotlus&amp;id=916627&amp;kuva=ava" display="https://pms.arib.pria.ee/pms-menetlus/ - /router?komponent=taotlus&amp;id=916627&amp;kuva=ava"/>
    <hyperlink ref="C117" r:id="rId25" location="/router?komponent=taotlus&amp;id=916780&amp;kuva=ava" display="https://pms.arib.pria.ee/pms-menetlus/ - /router?komponent=taotlus&amp;id=916780&amp;kuva=ava"/>
    <hyperlink ref="C118" r:id="rId26" location="/router?komponent=taotlus&amp;id=912995&amp;kuva=ava" display="https://pms.arib.pria.ee/pms-menetlus/ - /router?komponent=taotlus&amp;id=912995&amp;kuva=ava"/>
    <hyperlink ref="C119" r:id="rId27" location="/router?komponent=taotlus&amp;id=918063&amp;kuva=ava" display="https://pms.arib.pria.ee/pms-menetlus/ - /router?komponent=taotlus&amp;id=918063&amp;kuva=ava"/>
    <hyperlink ref="C120" r:id="rId28" location="/router?komponent=taotlus&amp;id=911176&amp;kuva=ava" display="https://pms.arib.pria.ee/pms-menetlus/ - /router?komponent=taotlus&amp;id=911176&amp;kuva=ava"/>
    <hyperlink ref="C121" r:id="rId29" location="/router?komponent=taotlus&amp;id=910772&amp;kuva=ava" display="https://pms.arib.pria.ee/pms-menetlus/ - /router?komponent=taotlus&amp;id=910772&amp;kuva=ava"/>
    <hyperlink ref="C122" r:id="rId30" location="/router?komponent=taotlus&amp;id=917616&amp;kuva=ava" display="https://pms.arib.pria.ee/pms-menetlus/ - /router?komponent=taotlus&amp;id=917616&amp;kuva=ava"/>
    <hyperlink ref="C128" r:id="rId31" location="/router?komponent=taotlus&amp;id=917230&amp;kuva=ava" display="https://pms.arib.pria.ee/pms-menetlus/ - /router?komponent=taotlus&amp;id=917230&amp;kuva=ava"/>
    <hyperlink ref="C129" r:id="rId32" location="/router?komponent=taotlus&amp;id=917357&amp;kuva=ava" display="https://pms.arib.pria.ee/pms-menetlus/ - /router?komponent=taotlus&amp;id=917357&amp;kuva=ava"/>
    <hyperlink ref="C130" r:id="rId33" location="/router?komponent=taotlus&amp;id=909300&amp;kuva=ava" display="https://pms.arib.pria.ee/pms-menetlus/ - /router?komponent=taotlus&amp;id=909300&amp;kuva=ava"/>
    <hyperlink ref="C131" r:id="rId34" location="/router?komponent=taotlus&amp;id=917062&amp;kuva=ava" display="https://pms.arib.pria.ee/pms-menetlus/ - /router?komponent=taotlus&amp;id=917062&amp;kuva=ava"/>
    <hyperlink ref="C132" r:id="rId35" location="/router?komponent=taotlus&amp;id=916823&amp;kuva=ava" display="https://pms.arib.pria.ee/pms-menetlus/ - /router?komponent=taotlus&amp;id=916823&amp;kuva=ava"/>
    <hyperlink ref="C133" r:id="rId36" location="/router?komponent=taotlus&amp;id=917659&amp;kuva=ava" display="/router?komponent=taotlus&amp;id=917659&amp;kuva=ava"/>
  </hyperlinks>
  <pageMargins left="0.7" right="0.7" top="0.75" bottom="0.75" header="0.3" footer="0.3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Arenduskoda</vt:lpstr>
      <vt:lpstr>Hiidlaste Koostöökogu</vt:lpstr>
      <vt:lpstr>Ida-Harju Koostöökoda</vt:lpstr>
      <vt:lpstr>Jõgevamaa Koostöökoda</vt:lpstr>
      <vt:lpstr>Järva Arengu Partnerid</vt:lpstr>
      <vt:lpstr>Kirderanniku Koostöökogu</vt:lpstr>
      <vt:lpstr>Kodukant Läänemaa</vt:lpstr>
      <vt:lpstr>Lõuna- Järvamaa Koostöökogu</vt:lpstr>
      <vt:lpstr>Lääne-Harju Koostöökogu</vt:lpstr>
      <vt:lpstr>Mulgimaa Arenduskoda</vt:lpstr>
      <vt:lpstr>Nelja Valla Kogu</vt:lpstr>
      <vt:lpstr>PAIK</vt:lpstr>
      <vt:lpstr>Partnerid</vt:lpstr>
      <vt:lpstr>Peipsi-Alutaguse Koostöökoda</vt:lpstr>
      <vt:lpstr>Piiriveere Liider</vt:lpstr>
      <vt:lpstr>Põhja-Harju Koostöökogu</vt:lpstr>
      <vt:lpstr>Põlvamaa Partnerluskogu</vt:lpstr>
      <vt:lpstr>Pärnu Lahe Partnerluskogu</vt:lpstr>
      <vt:lpstr>Raplamaa Partnerluskogu</vt:lpstr>
      <vt:lpstr>Rohelise Jõemaa Koostöökogu</vt:lpstr>
      <vt:lpstr>Saarte Koostöökogu</vt:lpstr>
      <vt:lpstr>Tartumaa Arendusselts</vt:lpstr>
      <vt:lpstr>Valgamaa Partnerluskogu</vt:lpstr>
      <vt:lpstr>Virumaa Koostöökogu</vt:lpstr>
      <vt:lpstr>Võrtsjärve Ühendus</vt:lpstr>
      <vt:lpstr>Võrumaa Partnerluskogu</vt:lpstr>
    </vt:vector>
  </TitlesOfParts>
  <Company>PRIA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Saaroja</dc:creator>
  <cp:lastModifiedBy>Malle Mandel</cp:lastModifiedBy>
  <dcterms:created xsi:type="dcterms:W3CDTF">2016-04-27T05:43:20Z</dcterms:created>
  <dcterms:modified xsi:type="dcterms:W3CDTF">2023-02-14T16:27:24Z</dcterms:modified>
</cp:coreProperties>
</file>